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charts/chart20.xml" ContentType="application/vnd.openxmlformats-officedocument.drawingml.chart+xml"/>
  <Override PartName="/xl/drawings/drawing24.xml" ContentType="application/vnd.openxmlformats-officedocument.drawingml.chartshapes+xml"/>
  <Override PartName="/xl/charts/chart21.xml" ContentType="application/vnd.openxmlformats-officedocument.drawingml.chart+xml"/>
  <Override PartName="/xl/drawings/drawing25.xml" ContentType="application/vnd.openxmlformats-officedocument.drawingml.chartshapes+xml"/>
  <Override PartName="/xl/charts/chart22.xml" ContentType="application/vnd.openxmlformats-officedocument.drawingml.chart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drawings/drawing29.xml" ContentType="application/vnd.openxmlformats-officedocument.drawingml.chartshapes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harts/chart27.xml" ContentType="application/vnd.openxmlformats-officedocument.drawingml.chart+xml"/>
  <Override PartName="/xl/drawings/drawing31.xml" ContentType="application/vnd.openxmlformats-officedocument.drawingml.chartshapes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charts/chart29.xml" ContentType="application/vnd.openxmlformats-officedocument.drawingml.chart+xml"/>
  <Override PartName="/xl/drawings/drawing33.xml" ContentType="application/vnd.openxmlformats-officedocument.drawingml.chartshapes+xml"/>
  <Override PartName="/xl/charts/chart30.xml" ContentType="application/vnd.openxmlformats-officedocument.drawingml.chart+xml"/>
  <Override PartName="/xl/drawings/drawing34.xml" ContentType="application/vnd.openxmlformats-officedocument.drawingml.chartshapes+xml"/>
  <Override PartName="/xl/charts/chart31.xml" ContentType="application/vnd.openxmlformats-officedocument.drawingml.chart+xml"/>
  <Override PartName="/xl/drawings/drawing35.xml" ContentType="application/vnd.openxmlformats-officedocument.drawingml.chartshapes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charts/chart33.xml" ContentType="application/vnd.openxmlformats-officedocument.drawingml.chart+xml"/>
  <Override PartName="/xl/drawings/drawing37.xml" ContentType="application/vnd.openxmlformats-officedocument.drawingml.chartshapes+xml"/>
  <Override PartName="/xl/charts/chart34.xml" ContentType="application/vnd.openxmlformats-officedocument.drawingml.chart+xml"/>
  <Override PartName="/xl/drawings/drawing38.xml" ContentType="application/vnd.openxmlformats-officedocument.drawingml.chartshapes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drawings/drawing43.xml" ContentType="application/vnd.openxmlformats-officedocument.drawingml.chartshapes+xml"/>
  <Override PartName="/xl/charts/chart38.xml" ContentType="application/vnd.openxmlformats-officedocument.drawingml.chart+xml"/>
  <Override PartName="/xl/drawings/drawing44.xml" ContentType="application/vnd.openxmlformats-officedocument.drawingml.chartshapes+xml"/>
  <Override PartName="/xl/charts/chart39.xml" ContentType="application/vnd.openxmlformats-officedocument.drawingml.chart+xml"/>
  <Override PartName="/xl/drawings/drawing45.xml" ContentType="application/vnd.openxmlformats-officedocument.drawingml.chartshapes+xml"/>
  <Override PartName="/xl/charts/chart40.xml" ContentType="application/vnd.openxmlformats-officedocument.drawingml.chart+xml"/>
  <Override PartName="/xl/drawings/drawing46.xml" ContentType="application/vnd.openxmlformats-officedocument.drawingml.chartshapes+xml"/>
  <Override PartName="/xl/charts/chart41.xml" ContentType="application/vnd.openxmlformats-officedocument.drawingml.chart+xml"/>
  <Override PartName="/xl/drawings/drawing47.xml" ContentType="application/vnd.openxmlformats-officedocument.drawingml.chartshapes+xml"/>
  <Override PartName="/xl/charts/chart42.xml" ContentType="application/vnd.openxmlformats-officedocument.drawingml.chart+xml"/>
  <Override PartName="/xl/drawings/drawing48.xml" ContentType="application/vnd.openxmlformats-officedocument.drawingml.chartshapes+xml"/>
  <Override PartName="/xl/charts/chart43.xml" ContentType="application/vnd.openxmlformats-officedocument.drawingml.chart+xml"/>
  <Override PartName="/xl/drawings/drawing49.xml" ContentType="application/vnd.openxmlformats-officedocument.drawingml.chartshapes+xml"/>
  <Override PartName="/xl/charts/chart44.xml" ContentType="application/vnd.openxmlformats-officedocument.drawingml.chart+xml"/>
  <Override PartName="/xl/drawings/drawing50.xml" ContentType="application/vnd.openxmlformats-officedocument.drawingml.chartshapes+xml"/>
  <Override PartName="/xl/charts/chart45.xml" ContentType="application/vnd.openxmlformats-officedocument.drawingml.chart+xml"/>
  <Override PartName="/xl/drawings/drawing51.xml" ContentType="application/vnd.openxmlformats-officedocument.drawingml.chartshapes+xml"/>
  <Override PartName="/xl/charts/chart46.xml" ContentType="application/vnd.openxmlformats-officedocument.drawingml.chart+xml"/>
  <Override PartName="/xl/drawings/drawing52.xml" ContentType="application/vnd.openxmlformats-officedocument.drawingml.chartshapes+xml"/>
  <Override PartName="/xl/charts/chart47.xml" ContentType="application/vnd.openxmlformats-officedocument.drawingml.chart+xml"/>
  <Override PartName="/xl/drawings/drawing53.xml" ContentType="application/vnd.openxmlformats-officedocument.drawingml.chartshapes+xml"/>
  <Override PartName="/xl/charts/chart48.xml" ContentType="application/vnd.openxmlformats-officedocument.drawingml.chart+xml"/>
  <Override PartName="/xl/drawings/drawing54.xml" ContentType="application/vnd.openxmlformats-officedocument.drawingml.chartshapes+xml"/>
  <Override PartName="/xl/charts/chart49.xml" ContentType="application/vnd.openxmlformats-officedocument.drawingml.chart+xml"/>
  <Override PartName="/xl/drawings/drawing55.xml" ContentType="application/vnd.openxmlformats-officedocument.drawingml.chartshapes+xml"/>
  <Override PartName="/xl/charts/chart50.xml" ContentType="application/vnd.openxmlformats-officedocument.drawingml.chart+xml"/>
  <Override PartName="/xl/drawings/drawing56.xml" ContentType="application/vnd.openxmlformats-officedocument.drawingml.chartshapes+xml"/>
  <Override PartName="/xl/charts/chart51.xml" ContentType="application/vnd.openxmlformats-officedocument.drawingml.chart+xml"/>
  <Override PartName="/xl/drawings/drawing57.xml" ContentType="application/vnd.openxmlformats-officedocument.drawingml.chartshapes+xml"/>
  <Override PartName="/xl/charts/chart52.xml" ContentType="application/vnd.openxmlformats-officedocument.drawingml.chart+xml"/>
  <Override PartName="/xl/drawings/drawing58.xml" ContentType="application/vnd.openxmlformats-officedocument.drawingml.chartshapes+xml"/>
  <Override PartName="/xl/charts/chart53.xml" ContentType="application/vnd.openxmlformats-officedocument.drawingml.chart+xml"/>
  <Override PartName="/xl/drawings/drawing59.xml" ContentType="application/vnd.openxmlformats-officedocument.drawingml.chartshapes+xml"/>
  <Override PartName="/xl/charts/chart54.xml" ContentType="application/vnd.openxmlformats-officedocument.drawingml.chart+xml"/>
  <Override PartName="/xl/drawings/drawing60.xml" ContentType="application/vnd.openxmlformats-officedocument.drawingml.chartshapes+xml"/>
  <Override PartName="/xl/charts/chart55.xml" ContentType="application/vnd.openxmlformats-officedocument.drawingml.chart+xml"/>
  <Override PartName="/xl/drawings/drawing61.xml" ContentType="application/vnd.openxmlformats-officedocument.drawingml.chartshapes+xml"/>
  <Override PartName="/xl/charts/chart56.xml" ContentType="application/vnd.openxmlformats-officedocument.drawingml.chart+xml"/>
  <Override PartName="/xl/drawings/drawing62.xml" ContentType="application/vnd.openxmlformats-officedocument.drawingml.chartshapes+xml"/>
  <Override PartName="/xl/charts/chart57.xml" ContentType="application/vnd.openxmlformats-officedocument.drawingml.chart+xml"/>
  <Override PartName="/xl/drawings/drawing63.xml" ContentType="application/vnd.openxmlformats-officedocument.drawingml.chartshapes+xml"/>
  <Override PartName="/xl/charts/chart58.xml" ContentType="application/vnd.openxmlformats-officedocument.drawingml.chart+xml"/>
  <Override PartName="/xl/drawings/drawing64.xml" ContentType="application/vnd.openxmlformats-officedocument.drawingml.chartshapes+xml"/>
  <Override PartName="/xl/charts/chart59.xml" ContentType="application/vnd.openxmlformats-officedocument.drawingml.chart+xml"/>
  <Override PartName="/xl/drawings/drawing65.xml" ContentType="application/vnd.openxmlformats-officedocument.drawingml.chartshapes+xml"/>
  <Override PartName="/xl/charts/chart60.xml" ContentType="application/vnd.openxmlformats-officedocument.drawingml.chart+xml"/>
  <Override PartName="/xl/drawings/drawing66.xml" ContentType="application/vnd.openxmlformats-officedocument.drawingml.chartshapes+xml"/>
  <Override PartName="/xl/charts/chart61.xml" ContentType="application/vnd.openxmlformats-officedocument.drawingml.chart+xml"/>
  <Override PartName="/xl/drawings/drawing67.xml" ContentType="application/vnd.openxmlformats-officedocument.drawingml.chartshapes+xml"/>
  <Override PartName="/xl/charts/chart62.xml" ContentType="application/vnd.openxmlformats-officedocument.drawingml.chart+xml"/>
  <Override PartName="/xl/drawings/drawing68.xml" ContentType="application/vnd.openxmlformats-officedocument.drawingml.chartshapes+xml"/>
  <Override PartName="/xl/charts/chart63.xml" ContentType="application/vnd.openxmlformats-officedocument.drawingml.chart+xml"/>
  <Override PartName="/xl/drawings/drawing69.xml" ContentType="application/vnd.openxmlformats-officedocument.drawingml.chartshapes+xml"/>
  <Override PartName="/xl/charts/chart64.xml" ContentType="application/vnd.openxmlformats-officedocument.drawingml.chart+xml"/>
  <Override PartName="/xl/drawings/drawing70.xml" ContentType="application/vnd.openxmlformats-officedocument.drawingml.chartshapes+xml"/>
  <Override PartName="/xl/charts/chart65.xml" ContentType="application/vnd.openxmlformats-officedocument.drawingml.chart+xml"/>
  <Override PartName="/xl/drawings/drawing71.xml" ContentType="application/vnd.openxmlformats-officedocument.drawingml.chartshapes+xml"/>
  <Override PartName="/xl/charts/chart66.xml" ContentType="application/vnd.openxmlformats-officedocument.drawingml.chart+xml"/>
  <Override PartName="/xl/drawings/drawing72.xml" ContentType="application/vnd.openxmlformats-officedocument.drawingml.chartshapes+xml"/>
  <Override PartName="/xl/charts/chart67.xml" ContentType="application/vnd.openxmlformats-officedocument.drawingml.chart+xml"/>
  <Override PartName="/xl/drawings/drawing73.xml" ContentType="application/vnd.openxmlformats-officedocument.drawingml.chartshapes+xml"/>
  <Override PartName="/xl/charts/chart68.xml" ContentType="application/vnd.openxmlformats-officedocument.drawingml.chart+xml"/>
  <Override PartName="/xl/drawings/drawing74.xml" ContentType="application/vnd.openxmlformats-officedocument.drawingml.chartshapes+xml"/>
  <Override PartName="/xl/charts/chart69.xml" ContentType="application/vnd.openxmlformats-officedocument.drawingml.chart+xml"/>
  <Override PartName="/xl/drawings/drawing75.xml" ContentType="application/vnd.openxmlformats-officedocument.drawingml.chartshapes+xml"/>
  <Override PartName="/xl/charts/chart70.xml" ContentType="application/vnd.openxmlformats-officedocument.drawingml.chart+xml"/>
  <Override PartName="/xl/drawings/drawing76.xml" ContentType="application/vnd.openxmlformats-officedocument.drawingml.chartshapes+xml"/>
  <Override PartName="/xl/charts/chart71.xml" ContentType="application/vnd.openxmlformats-officedocument.drawingml.chart+xml"/>
  <Override PartName="/xl/drawings/drawing77.xml" ContentType="application/vnd.openxmlformats-officedocument.drawingml.chartshapes+xml"/>
  <Override PartName="/xl/charts/chart72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83.xml" ContentType="application/vnd.openxmlformats-officedocument.drawingml.chartshapes+xml"/>
  <Override PartName="/xl/charts/chart79.xml" ContentType="application/vnd.openxmlformats-officedocument.drawingml.chart+xml"/>
  <Override PartName="/xl/drawings/drawing84.xml" ContentType="application/vnd.openxmlformats-officedocument.drawingml.chartshapes+xml"/>
  <Override PartName="/xl/charts/chart80.xml" ContentType="application/vnd.openxmlformats-officedocument.drawingml.chart+xml"/>
  <Override PartName="/xl/drawings/drawing85.xml" ContentType="application/vnd.openxmlformats-officedocument.drawingml.chartshapes+xml"/>
  <Override PartName="/xl/charts/chart81.xml" ContentType="application/vnd.openxmlformats-officedocument.drawingml.chart+xml"/>
  <Override PartName="/xl/drawings/drawing86.xml" ContentType="application/vnd.openxmlformats-officedocument.drawingml.chartshapes+xml"/>
  <Override PartName="/xl/charts/chart82.xml" ContentType="application/vnd.openxmlformats-officedocument.drawingml.chart+xml"/>
  <Override PartName="/xl/drawings/drawing87.xml" ContentType="application/vnd.openxmlformats-officedocument.drawingml.chartshapes+xml"/>
  <Override PartName="/xl/charts/chart83.xml" ContentType="application/vnd.openxmlformats-officedocument.drawingml.chart+xml"/>
  <Override PartName="/xl/drawings/drawing88.xml" ContentType="application/vnd.openxmlformats-officedocument.drawingml.chartshapes+xml"/>
  <Override PartName="/xl/charts/chart84.xml" ContentType="application/vnd.openxmlformats-officedocument.drawingml.chart+xml"/>
  <Override PartName="/xl/drawings/drawing89.xml" ContentType="application/vnd.openxmlformats-officedocument.drawingml.chartshapes+xml"/>
  <Override PartName="/xl/charts/chart85.xml" ContentType="application/vnd.openxmlformats-officedocument.drawingml.chart+xml"/>
  <Override PartName="/xl/drawings/drawing90.xml" ContentType="application/vnd.openxmlformats-officedocument.drawingml.chartshapes+xml"/>
  <Override PartName="/xl/charts/chart86.xml" ContentType="application/vnd.openxmlformats-officedocument.drawingml.chart+xml"/>
  <Override PartName="/xl/drawings/drawing91.xml" ContentType="application/vnd.openxmlformats-officedocument.drawingml.chartshapes+xml"/>
  <Override PartName="/xl/charts/chart87.xml" ContentType="application/vnd.openxmlformats-officedocument.drawingml.chart+xml"/>
  <Override PartName="/xl/drawings/drawing92.xml" ContentType="application/vnd.openxmlformats-officedocument.drawingml.chartshapes+xml"/>
  <Override PartName="/xl/charts/chart88.xml" ContentType="application/vnd.openxmlformats-officedocument.drawingml.chart+xml"/>
  <Override PartName="/xl/drawings/drawing93.xml" ContentType="application/vnd.openxmlformats-officedocument.drawingml.chartshapes+xml"/>
  <Override PartName="/xl/charts/chart89.xml" ContentType="application/vnd.openxmlformats-officedocument.drawingml.chart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97.xml" ContentType="application/vnd.openxmlformats-officedocument.drawingml.chartshapes+xml"/>
  <Override PartName="/xl/charts/chart96.xml" ContentType="application/vnd.openxmlformats-officedocument.drawingml.chart+xml"/>
  <Override PartName="/xl/drawings/drawing98.xml" ContentType="application/vnd.openxmlformats-officedocument.drawingml.chartshapes+xml"/>
  <Override PartName="/xl/charts/chart97.xml" ContentType="application/vnd.openxmlformats-officedocument.drawingml.chart+xml"/>
  <Override PartName="/xl/drawings/drawing99.xml" ContentType="application/vnd.openxmlformats-officedocument.drawingml.chartshapes+xml"/>
  <Override PartName="/xl/charts/chart98.xml" ContentType="application/vnd.openxmlformats-officedocument.drawingml.chart+xml"/>
  <Override PartName="/xl/drawings/drawing100.xml" ContentType="application/vnd.openxmlformats-officedocument.drawingml.chartshapes+xml"/>
  <Override PartName="/xl/charts/chart99.xml" ContentType="application/vnd.openxmlformats-officedocument.drawingml.chart+xml"/>
  <Override PartName="/xl/drawings/drawing101.xml" ContentType="application/vnd.openxmlformats-officedocument.drawingml.chartshapes+xml"/>
  <Override PartName="/xl/charts/chart100.xml" ContentType="application/vnd.openxmlformats-officedocument.drawingml.chart+xml"/>
  <Override PartName="/xl/drawings/drawing102.xml" ContentType="application/vnd.openxmlformats-officedocument.drawingml.chartshapes+xml"/>
  <Override PartName="/xl/charts/chart101.xml" ContentType="application/vnd.openxmlformats-officedocument.drawingml.chart+xml"/>
  <Override PartName="/xl/drawings/drawing103.xml" ContentType="application/vnd.openxmlformats-officedocument.drawingml.chartshapes+xml"/>
  <Override PartName="/xl/charts/chart102.xml" ContentType="application/vnd.openxmlformats-officedocument.drawingml.chart+xml"/>
  <Override PartName="/xl/drawings/drawing104.xml" ContentType="application/vnd.openxmlformats-officedocument.drawingml.chartshapes+xml"/>
  <Override PartName="/xl/charts/chart103.xml" ContentType="application/vnd.openxmlformats-officedocument.drawingml.chart+xml"/>
  <Override PartName="/xl/drawings/drawing105.xml" ContentType="application/vnd.openxmlformats-officedocument.drawingml.chartshapes+xml"/>
  <Override PartName="/xl/charts/chart104.xml" ContentType="application/vnd.openxmlformats-officedocument.drawingml.chart+xml"/>
  <Override PartName="/xl/drawings/drawing106.xml" ContentType="application/vnd.openxmlformats-officedocument.drawingml.chartshapes+xml"/>
  <Override PartName="/xl/charts/chart105.xml" ContentType="application/vnd.openxmlformats-officedocument.drawingml.chart+xml"/>
  <Override PartName="/xl/drawings/drawing107.xml" ContentType="application/vnd.openxmlformats-officedocument.drawingml.chartshapes+xml"/>
  <Override PartName="/xl/charts/chart106.xml" ContentType="application/vnd.openxmlformats-officedocument.drawingml.chart+xml"/>
  <Override PartName="/xl/drawings/drawing10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z Dietrich\Desktop\Inovev\55\"/>
    </mc:Choice>
  </mc:AlternateContent>
  <xr:revisionPtr revIDLastSave="0" documentId="13_ncr:1_{C4BF9A3D-1522-44F4-812C-252A4DB3A794}" xr6:coauthVersionLast="47" xr6:coauthVersionMax="47" xr10:uidLastSave="{00000000-0000-0000-0000-000000000000}"/>
  <bookViews>
    <workbookView xWindow="-108" yWindow="-108" windowWidth="23256" windowHeight="12576" tabRatio="583" xr2:uid="{00000000-000D-0000-FFFF-FFFF00000000}"/>
  </bookViews>
  <sheets>
    <sheet name="Content" sheetId="14" r:id="rId1"/>
    <sheet name="PC-sales-countries-World" sheetId="10" r:id="rId2"/>
    <sheet name="PC-sales-countries-World-123" sheetId="15" r:id="rId3"/>
    <sheet name="PC-sales-countries-World-Charts" sheetId="59" r:id="rId4"/>
    <sheet name="PC-sales-countries-Cumul-World" sheetId="32" r:id="rId5"/>
    <sheet name="PC-sales-World-Cumul-Charts" sheetId="60" r:id="rId6"/>
    <sheet name="PC-sales-carmakers-Europe 29" sheetId="13" r:id="rId7"/>
    <sheet name="LUV-sales-countries-World" sheetId="11" r:id="rId8"/>
    <sheet name="LUV-sales-countries-World-123" sheetId="23" r:id="rId9"/>
    <sheet name="LUV-sales-countries-World-Chart" sheetId="61" r:id="rId10"/>
    <sheet name="LUV-sales-countries-Cumul-World" sheetId="21" r:id="rId11"/>
    <sheet name="LUV-sales-World-Cumul-Chart" sheetId="62" r:id="rId12"/>
  </sheets>
  <externalReferences>
    <externalReference r:id="rId13"/>
  </externalReferences>
  <calcPr calcId="181029"/>
</workbook>
</file>

<file path=xl/calcChain.xml><?xml version="1.0" encoding="utf-8"?>
<calcChain xmlns="http://schemas.openxmlformats.org/spreadsheetml/2006/main">
  <c r="S48" i="10" l="1"/>
  <c r="K11" i="10"/>
  <c r="EA61" i="11" l="1"/>
  <c r="DZ61" i="11"/>
  <c r="DY61" i="11"/>
  <c r="DX61" i="11"/>
  <c r="DW61" i="11"/>
  <c r="DV61" i="11"/>
  <c r="DU61" i="11"/>
  <c r="DT61" i="11"/>
  <c r="DS61" i="11"/>
  <c r="DR61" i="11"/>
  <c r="DQ61" i="11"/>
  <c r="DP61" i="11"/>
  <c r="DQ76" i="13"/>
  <c r="DP76" i="13"/>
  <c r="DO76" i="13"/>
  <c r="DN76" i="13"/>
  <c r="DL76" i="13"/>
  <c r="DK76" i="13"/>
  <c r="DJ76" i="13"/>
  <c r="DI76" i="13"/>
  <c r="DH76" i="13"/>
  <c r="DG76" i="13"/>
  <c r="DF76" i="13"/>
  <c r="DM75" i="13"/>
  <c r="DM76" i="13" s="1"/>
  <c r="B61" i="11"/>
  <c r="C61" i="11"/>
  <c r="D61" i="11"/>
  <c r="E61" i="11"/>
  <c r="DO61" i="11" l="1"/>
  <c r="DM61" i="11"/>
  <c r="DI61" i="11"/>
  <c r="DH61" i="11"/>
  <c r="DG61" i="11"/>
  <c r="DF61" i="11"/>
  <c r="DE61" i="11"/>
  <c r="DD61" i="11"/>
  <c r="DL60" i="11"/>
  <c r="DL57" i="11"/>
  <c r="DL56" i="11"/>
  <c r="DL55" i="11"/>
  <c r="DK55" i="11"/>
  <c r="DJ55" i="11"/>
  <c r="DK54" i="11"/>
  <c r="DL51" i="11"/>
  <c r="DK51" i="11"/>
  <c r="DJ51" i="11"/>
  <c r="DN49" i="11"/>
  <c r="DN48" i="11"/>
  <c r="DD75" i="13"/>
  <c r="CW75" i="13"/>
  <c r="DB68" i="13"/>
  <c r="DA68" i="13"/>
  <c r="CZ68" i="13"/>
  <c r="CK139" i="10"/>
  <c r="CJ139" i="10"/>
  <c r="CI139" i="10"/>
  <c r="CH139" i="10"/>
  <c r="CG139" i="10"/>
  <c r="CF139" i="10"/>
  <c r="CL133" i="10"/>
  <c r="CL131" i="10"/>
  <c r="CQ120" i="10"/>
  <c r="CP120" i="10"/>
  <c r="CM120" i="10"/>
  <c r="CL117" i="10"/>
  <c r="CQ104" i="10"/>
  <c r="CP104" i="10"/>
  <c r="CO104" i="10"/>
  <c r="CM104" i="10"/>
  <c r="CL104" i="10"/>
  <c r="CQ103" i="10"/>
  <c r="CP103" i="10"/>
  <c r="CO103" i="10"/>
  <c r="CN103" i="10"/>
  <c r="CN139" i="10" s="1"/>
  <c r="CM103" i="10"/>
  <c r="CL103" i="10"/>
  <c r="CQ139" i="10" l="1"/>
  <c r="CP139" i="10"/>
  <c r="CM139" i="10"/>
  <c r="DN61" i="11"/>
  <c r="DJ61" i="11"/>
  <c r="DK61" i="11"/>
  <c r="CL139" i="10"/>
  <c r="CO139" i="10"/>
  <c r="DL61" i="11"/>
  <c r="BO72" i="13"/>
  <c r="BK72" i="13"/>
  <c r="BD72" i="13"/>
  <c r="AR72" i="13"/>
  <c r="AQ72" i="13"/>
  <c r="AP72" i="13"/>
  <c r="AO72" i="13"/>
  <c r="AN72" i="13"/>
  <c r="AM72" i="13"/>
  <c r="AL72" i="13"/>
  <c r="AK72" i="13"/>
  <c r="AJ72" i="13"/>
  <c r="W72" i="13"/>
  <c r="V72" i="13"/>
  <c r="U72" i="13"/>
  <c r="T72" i="13"/>
  <c r="S72" i="13"/>
  <c r="R72" i="13"/>
  <c r="I72" i="13"/>
  <c r="H72" i="13"/>
  <c r="G72" i="13"/>
  <c r="F72" i="13"/>
  <c r="E72" i="13"/>
  <c r="D72" i="13"/>
  <c r="B72" i="13"/>
  <c r="BR63" i="13"/>
  <c r="BQ63" i="13"/>
  <c r="BP63" i="13"/>
  <c r="BM63" i="13"/>
  <c r="BJ63" i="13"/>
  <c r="BI63" i="13"/>
  <c r="BG63" i="13"/>
  <c r="BF63" i="13"/>
  <c r="BE63" i="13"/>
  <c r="BC63" i="13"/>
  <c r="BB63" i="13"/>
  <c r="BA63" i="13"/>
  <c r="AZ63" i="13"/>
  <c r="AY63" i="13"/>
  <c r="AX63" i="13"/>
  <c r="AW63" i="13"/>
  <c r="AV63" i="13"/>
  <c r="AU63" i="13"/>
  <c r="AT63" i="13"/>
  <c r="AS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P63" i="13"/>
  <c r="O63" i="13"/>
  <c r="N63" i="13"/>
  <c r="M63" i="13"/>
  <c r="L63" i="13"/>
  <c r="K63" i="13"/>
  <c r="J63" i="13"/>
  <c r="C63" i="13"/>
  <c r="BR61" i="13"/>
  <c r="BQ61" i="13"/>
  <c r="BP61" i="13"/>
  <c r="BN61" i="13"/>
  <c r="BN72" i="13" s="1"/>
  <c r="BM61" i="13"/>
  <c r="BL61" i="13"/>
  <c r="BL72" i="13" s="1"/>
  <c r="BJ61" i="13"/>
  <c r="BI61" i="13"/>
  <c r="BH61" i="13"/>
  <c r="BH72" i="13" s="1"/>
  <c r="BG61" i="13"/>
  <c r="BF61" i="13"/>
  <c r="BE61" i="13"/>
  <c r="BC61" i="13"/>
  <c r="BB61" i="13"/>
  <c r="BA61" i="13"/>
  <c r="AZ61" i="13"/>
  <c r="AY61" i="13"/>
  <c r="AX61" i="13"/>
  <c r="AW61" i="13"/>
  <c r="AV61" i="13"/>
  <c r="AU61" i="13"/>
  <c r="AT61" i="13"/>
  <c r="AS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Q61" i="13"/>
  <c r="Q72" i="13" s="1"/>
  <c r="P61" i="13"/>
  <c r="O61" i="13"/>
  <c r="N61" i="13"/>
  <c r="M61" i="13"/>
  <c r="L61" i="13"/>
  <c r="K61" i="13"/>
  <c r="J61" i="13"/>
  <c r="C61" i="13"/>
  <c r="BJ60" i="13"/>
  <c r="BI60" i="13"/>
  <c r="K59" i="13"/>
  <c r="CD61" i="11"/>
  <c r="CC61" i="11"/>
  <c r="CB61" i="11"/>
  <c r="CA61" i="11"/>
  <c r="BZ61" i="11"/>
  <c r="BY61" i="11"/>
  <c r="BX61" i="11"/>
  <c r="BW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E61" i="11"/>
  <c r="AD61" i="11"/>
  <c r="AC61" i="11"/>
  <c r="AB61" i="11"/>
  <c r="AA61" i="11"/>
  <c r="Z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AF59" i="11"/>
  <c r="AF56" i="11"/>
  <c r="AF55" i="11"/>
  <c r="BV54" i="11"/>
  <c r="BV61" i="11" s="1"/>
  <c r="BU54" i="11"/>
  <c r="BU61" i="11" s="1"/>
  <c r="Y49" i="11"/>
  <c r="Y48" i="11"/>
  <c r="CE139" i="10"/>
  <c r="CD139" i="10"/>
  <c r="CC139" i="10"/>
  <c r="CB139" i="10"/>
  <c r="CA139" i="10"/>
  <c r="BZ139" i="10"/>
  <c r="BY139" i="10"/>
  <c r="BX139" i="10"/>
  <c r="BW139" i="10"/>
  <c r="BV139" i="10"/>
  <c r="BU139" i="10"/>
  <c r="BT139" i="10"/>
  <c r="BF139" i="10"/>
  <c r="BD139" i="10"/>
  <c r="BC139" i="10"/>
  <c r="AZ139" i="10"/>
  <c r="AU139" i="10"/>
  <c r="AS139" i="10"/>
  <c r="AR139" i="10"/>
  <c r="AO139" i="10"/>
  <c r="AM139" i="10"/>
  <c r="AF139" i="10"/>
  <c r="O139" i="10"/>
  <c r="L139" i="10"/>
  <c r="K139" i="10"/>
  <c r="BB138" i="10"/>
  <c r="I138" i="10"/>
  <c r="BA137" i="10"/>
  <c r="AY137" i="10"/>
  <c r="I136" i="10"/>
  <c r="I135" i="10"/>
  <c r="BB134" i="10"/>
  <c r="H134" i="10"/>
  <c r="BB133" i="10"/>
  <c r="I133" i="10"/>
  <c r="BB132" i="10"/>
  <c r="AX132" i="10"/>
  <c r="BB131" i="10"/>
  <c r="BB130" i="10"/>
  <c r="I130" i="10"/>
  <c r="I129" i="10"/>
  <c r="AG128" i="10"/>
  <c r="I127" i="10"/>
  <c r="Q126" i="10"/>
  <c r="J124" i="10"/>
  <c r="AX122" i="10"/>
  <c r="R122" i="10"/>
  <c r="BE120" i="10"/>
  <c r="AX120" i="10"/>
  <c r="AQ120" i="10"/>
  <c r="AP120" i="10"/>
  <c r="AP139" i="10" s="1"/>
  <c r="AL120" i="10"/>
  <c r="AI120" i="10"/>
  <c r="AI139" i="10" s="1"/>
  <c r="AH120" i="10"/>
  <c r="AG120" i="10"/>
  <c r="AE120" i="10"/>
  <c r="AD120" i="10"/>
  <c r="AD139" i="10" s="1"/>
  <c r="AC120" i="10"/>
  <c r="AB120" i="10"/>
  <c r="AA120" i="10"/>
  <c r="Z120" i="10"/>
  <c r="Y120" i="10"/>
  <c r="Y139" i="10" s="1"/>
  <c r="X120" i="10"/>
  <c r="W120" i="10"/>
  <c r="V120" i="10"/>
  <c r="U120" i="10"/>
  <c r="T120" i="10"/>
  <c r="S120" i="10"/>
  <c r="R120" i="10"/>
  <c r="Q120" i="10"/>
  <c r="P120" i="10"/>
  <c r="N120" i="10"/>
  <c r="M120" i="10"/>
  <c r="J120" i="10"/>
  <c r="I120" i="10"/>
  <c r="H120" i="10"/>
  <c r="E120" i="10"/>
  <c r="D120" i="10"/>
  <c r="B120" i="10"/>
  <c r="AT115" i="10"/>
  <c r="Q115" i="10"/>
  <c r="I115" i="10"/>
  <c r="AT114" i="10"/>
  <c r="R114" i="10"/>
  <c r="Q114" i="10"/>
  <c r="J114" i="10"/>
  <c r="I114" i="10"/>
  <c r="G114" i="10"/>
  <c r="AT113" i="10"/>
  <c r="Q113" i="10"/>
  <c r="J113" i="10"/>
  <c r="I113" i="10"/>
  <c r="H113" i="10"/>
  <c r="G113" i="10"/>
  <c r="C113" i="10"/>
  <c r="AT112" i="10"/>
  <c r="Q112" i="10"/>
  <c r="C112" i="10"/>
  <c r="AT111" i="10"/>
  <c r="Q111" i="10"/>
  <c r="J111" i="10"/>
  <c r="I111" i="10"/>
  <c r="H111" i="10"/>
  <c r="G111" i="10"/>
  <c r="C111" i="10"/>
  <c r="AT110" i="10"/>
  <c r="Q110" i="10"/>
  <c r="J110" i="10"/>
  <c r="I110" i="10"/>
  <c r="H110" i="10"/>
  <c r="G110" i="10"/>
  <c r="C110" i="10"/>
  <c r="AT109" i="10"/>
  <c r="Q109" i="10"/>
  <c r="C109" i="10"/>
  <c r="AT108" i="10"/>
  <c r="R108" i="10"/>
  <c r="Q108" i="10"/>
  <c r="J108" i="10"/>
  <c r="I108" i="10"/>
  <c r="H108" i="10"/>
  <c r="G108" i="10"/>
  <c r="C108" i="10"/>
  <c r="AT107" i="10"/>
  <c r="R107" i="10"/>
  <c r="Q107" i="10"/>
  <c r="J107" i="10"/>
  <c r="I107" i="10"/>
  <c r="H107" i="10"/>
  <c r="G107" i="10"/>
  <c r="AT106" i="10"/>
  <c r="Q106" i="10"/>
  <c r="C106" i="10"/>
  <c r="AT105" i="10"/>
  <c r="Q105" i="10"/>
  <c r="BE104" i="10"/>
  <c r="BA104" i="10"/>
  <c r="AY104" i="10"/>
  <c r="AW104" i="10"/>
  <c r="AW139" i="10" s="1"/>
  <c r="AV104" i="10"/>
  <c r="AT104" i="10"/>
  <c r="AQ104" i="10"/>
  <c r="AN104" i="10"/>
  <c r="AN139" i="10" s="1"/>
  <c r="AL104" i="10"/>
  <c r="AK104" i="10"/>
  <c r="AK139" i="10" s="1"/>
  <c r="AJ104" i="10"/>
  <c r="AJ139" i="10" s="1"/>
  <c r="AH104" i="10"/>
  <c r="AE104" i="10"/>
  <c r="AC104" i="10"/>
  <c r="AB104" i="10"/>
  <c r="AA104" i="10"/>
  <c r="Z104" i="10"/>
  <c r="X104" i="10"/>
  <c r="W104" i="10"/>
  <c r="V104" i="10"/>
  <c r="U104" i="10"/>
  <c r="T104" i="10"/>
  <c r="S104" i="10"/>
  <c r="R104" i="10"/>
  <c r="Q104" i="10"/>
  <c r="P104" i="10"/>
  <c r="N104" i="10"/>
  <c r="M104" i="10"/>
  <c r="J104" i="10"/>
  <c r="I104" i="10"/>
  <c r="H104" i="10"/>
  <c r="G104" i="10"/>
  <c r="F104" i="10"/>
  <c r="F139" i="10" s="1"/>
  <c r="E104" i="10"/>
  <c r="D104" i="10"/>
  <c r="C104" i="10"/>
  <c r="B104" i="10"/>
  <c r="AY103" i="10"/>
  <c r="AV103" i="10"/>
  <c r="AT103" i="10"/>
  <c r="AT102" i="10"/>
  <c r="Q102" i="10"/>
  <c r="J102" i="10"/>
  <c r="I102" i="10"/>
  <c r="H102" i="10"/>
  <c r="G102" i="10"/>
  <c r="C102" i="10"/>
  <c r="BP72" i="13" l="1"/>
  <c r="N72" i="13"/>
  <c r="P72" i="13"/>
  <c r="AH72" i="13"/>
  <c r="BE139" i="10"/>
  <c r="Z72" i="13"/>
  <c r="AV72" i="13"/>
  <c r="J72" i="13"/>
  <c r="AW72" i="13"/>
  <c r="AU72" i="13"/>
  <c r="BJ72" i="13"/>
  <c r="C72" i="13"/>
  <c r="BM72" i="13"/>
  <c r="AD72" i="13"/>
  <c r="AY72" i="13"/>
  <c r="AF72" i="13"/>
  <c r="M139" i="10"/>
  <c r="BQ72" i="13"/>
  <c r="BC72" i="13"/>
  <c r="BR72" i="13"/>
  <c r="X72" i="13"/>
  <c r="Z139" i="10"/>
  <c r="S139" i="10"/>
  <c r="AE139" i="10"/>
  <c r="U139" i="10"/>
  <c r="V139" i="10"/>
  <c r="AQ139" i="10"/>
  <c r="AH139" i="10"/>
  <c r="E139" i="10"/>
  <c r="D139" i="10"/>
  <c r="T139" i="10"/>
  <c r="AX139" i="10"/>
  <c r="AL139" i="10"/>
  <c r="W139" i="10"/>
  <c r="L72" i="13"/>
  <c r="BE72" i="13"/>
  <c r="R139" i="10"/>
  <c r="P139" i="10"/>
  <c r="X139" i="10"/>
  <c r="BB139" i="10"/>
  <c r="M72" i="13"/>
  <c r="AZ72" i="13"/>
  <c r="K72" i="13"/>
  <c r="AB72" i="13"/>
  <c r="AS72" i="13"/>
  <c r="BA72" i="13"/>
  <c r="O72" i="13"/>
  <c r="AA72" i="13"/>
  <c r="AE72" i="13"/>
  <c r="AI72" i="13"/>
  <c r="BF72" i="13"/>
  <c r="BI72" i="13"/>
  <c r="Y72" i="13"/>
  <c r="AC72" i="13"/>
  <c r="AG72" i="13"/>
  <c r="AT72" i="13"/>
  <c r="AX72" i="13"/>
  <c r="BB72" i="13"/>
  <c r="BG72" i="13"/>
  <c r="Y61" i="11"/>
  <c r="AF61" i="11"/>
  <c r="J139" i="10"/>
  <c r="AV139" i="10"/>
  <c r="N139" i="10"/>
  <c r="AB139" i="10"/>
  <c r="AY139" i="10"/>
  <c r="AC139" i="10"/>
  <c r="AG139" i="10"/>
  <c r="H139" i="10"/>
  <c r="AT139" i="10"/>
  <c r="B139" i="10"/>
  <c r="Q139" i="10"/>
  <c r="I139" i="10"/>
  <c r="C139" i="10"/>
  <c r="G139" i="10"/>
  <c r="AA139" i="10"/>
  <c r="BA139" i="10"/>
  <c r="W147" i="10" l="1"/>
  <c r="O149" i="10"/>
  <c r="P149" i="10"/>
  <c r="R149" i="10"/>
  <c r="S149" i="10"/>
  <c r="T149" i="10"/>
  <c r="U149" i="10"/>
  <c r="V149" i="10"/>
  <c r="Y149" i="10"/>
  <c r="O181" i="10"/>
  <c r="O172" i="10"/>
  <c r="W165" i="10"/>
  <c r="Y163" i="10"/>
  <c r="X163" i="10"/>
  <c r="W163" i="10"/>
  <c r="V163" i="10"/>
  <c r="U163" i="10"/>
  <c r="T163" i="10"/>
  <c r="S163" i="10"/>
  <c r="R163" i="10"/>
  <c r="P163" i="10"/>
  <c r="O163" i="10"/>
  <c r="W160" i="10"/>
  <c r="Y159" i="10"/>
  <c r="W159" i="10"/>
  <c r="Y158" i="10"/>
  <c r="W158" i="10"/>
  <c r="Y157" i="10"/>
  <c r="W157" i="10"/>
  <c r="Y156" i="10"/>
  <c r="W156" i="10"/>
  <c r="Y155" i="10"/>
  <c r="W155" i="10"/>
  <c r="Y154" i="10"/>
  <c r="W153" i="10"/>
  <c r="Y152" i="10"/>
  <c r="W152" i="10"/>
  <c r="Y151" i="10"/>
  <c r="W151" i="10"/>
</calcChain>
</file>

<file path=xl/sharedStrings.xml><?xml version="1.0" encoding="utf-8"?>
<sst xmlns="http://schemas.openxmlformats.org/spreadsheetml/2006/main" count="1953" uniqueCount="298">
  <si>
    <t xml:space="preserve"> </t>
  </si>
  <si>
    <t>TURKEY</t>
  </si>
  <si>
    <t>RUSSIA</t>
  </si>
  <si>
    <t>UKRAINE</t>
  </si>
  <si>
    <t>JAPAN</t>
  </si>
  <si>
    <t>USA</t>
  </si>
  <si>
    <t>CHINA</t>
  </si>
  <si>
    <t>KOREA</t>
  </si>
  <si>
    <t>BRAZIL</t>
  </si>
  <si>
    <t>INDIA</t>
  </si>
  <si>
    <t>CANADA</t>
  </si>
  <si>
    <t>MEXICO</t>
  </si>
  <si>
    <t xml:space="preserve">  </t>
  </si>
  <si>
    <t>JAPANESE</t>
  </si>
  <si>
    <t>CHINESE</t>
  </si>
  <si>
    <t>GERMANY</t>
  </si>
  <si>
    <t>ITALY</t>
  </si>
  <si>
    <t>UK</t>
  </si>
  <si>
    <t>FRANCE</t>
  </si>
  <si>
    <t>SPAIN</t>
  </si>
  <si>
    <t>BELUX</t>
  </si>
  <si>
    <t>POLAND</t>
  </si>
  <si>
    <t>HUNGARY</t>
  </si>
  <si>
    <t>SLOVAKIA</t>
  </si>
  <si>
    <t>SLOVENIA</t>
  </si>
  <si>
    <t>BALTIC</t>
  </si>
  <si>
    <t>ROMANIA</t>
  </si>
  <si>
    <t>BULGARIA</t>
  </si>
  <si>
    <t>AUSTRALIA</t>
  </si>
  <si>
    <t>ARGENTINA</t>
  </si>
  <si>
    <t>Delta %</t>
  </si>
  <si>
    <t>Product name</t>
  </si>
  <si>
    <t>Source</t>
  </si>
  <si>
    <t>Production and/or Sales</t>
  </si>
  <si>
    <t>Edition</t>
  </si>
  <si>
    <t>Region</t>
  </si>
  <si>
    <t>update's last month</t>
  </si>
  <si>
    <t>PC and/or UV</t>
  </si>
  <si>
    <t>update's last day</t>
  </si>
  <si>
    <t>Sales</t>
  </si>
  <si>
    <t>current document</t>
  </si>
  <si>
    <t>PC REGISTRATIONS</t>
  </si>
  <si>
    <t>AUSTRIA</t>
  </si>
  <si>
    <t>DENMARK/FINLAND/NORWAY</t>
  </si>
  <si>
    <t>GREECE</t>
  </si>
  <si>
    <t>IRELAND</t>
  </si>
  <si>
    <t>NETHERLANDS</t>
  </si>
  <si>
    <t>PORTUGAL</t>
  </si>
  <si>
    <t>SWEDEN</t>
  </si>
  <si>
    <t>SWITZERLAND</t>
  </si>
  <si>
    <t>CZECH REPUBLIC</t>
  </si>
  <si>
    <t>LUV REGISTRATIONS</t>
  </si>
  <si>
    <t>WESTERN EUROPE</t>
  </si>
  <si>
    <t>EASTERN EUROPE</t>
  </si>
  <si>
    <t>VW GROUP</t>
  </si>
  <si>
    <t>PSA GROUP</t>
  </si>
  <si>
    <t>GM GROUP</t>
  </si>
  <si>
    <t>FIAT GROUP</t>
  </si>
  <si>
    <t>FORD GROUP</t>
  </si>
  <si>
    <t>GEELY GROUP</t>
  </si>
  <si>
    <t>DAIMLER GROUP</t>
  </si>
  <si>
    <t>BMW GROUP</t>
  </si>
  <si>
    <t>HYUNDAI-KIA GROUP</t>
  </si>
  <si>
    <t>TATA GROUP</t>
  </si>
  <si>
    <t>PC and LUV</t>
  </si>
  <si>
    <t>PC-sales-countries-World</t>
  </si>
  <si>
    <t>LUV-sales-countries-World</t>
  </si>
  <si>
    <t>PC-sales-Carmakers-Europe 17 countries</t>
  </si>
  <si>
    <t>Total</t>
  </si>
  <si>
    <t>ARCHIVES</t>
  </si>
  <si>
    <t>Back to content</t>
  </si>
  <si>
    <t>PC and LUV Sales by countries for the world</t>
  </si>
  <si>
    <t>Year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</si>
  <si>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</si>
  <si>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</si>
  <si>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</si>
  <si>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</si>
  <si>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</si>
  <si>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</si>
  <si>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</si>
  <si>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</si>
  <si>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</si>
  <si>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</si>
  <si>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</si>
  <si>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</si>
  <si>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PC-sales-countries-World-Charts</t>
  </si>
  <si>
    <t>LUV-sales-countries-World-Charts</t>
  </si>
  <si>
    <t xml:space="preserve"> TURKEY</t>
  </si>
  <si>
    <t xml:space="preserve"> MEXICO</t>
  </si>
  <si>
    <t xml:space="preserve"> KOREA</t>
  </si>
  <si>
    <t xml:space="preserve"> JAPAN</t>
  </si>
  <si>
    <t xml:space="preserve"> INDIA</t>
  </si>
  <si>
    <t xml:space="preserve"> CHINA</t>
  </si>
  <si>
    <t xml:space="preserve"> CANADA</t>
  </si>
  <si>
    <t xml:space="preserve"> BRAZIL</t>
  </si>
  <si>
    <t xml:space="preserve"> AUSTRALIA</t>
  </si>
  <si>
    <t xml:space="preserve"> ARGENTINA</t>
  </si>
  <si>
    <t>PC-sales-countries-World-Cumul-Charts</t>
  </si>
  <si>
    <t>LUV-sales-countries-World-Cumul-Charts</t>
  </si>
  <si>
    <t>Tables</t>
  </si>
  <si>
    <t>Charts</t>
  </si>
  <si>
    <t>PC-sales-countries-Cumul-World</t>
  </si>
  <si>
    <t>LUV-sales-countries-Cumul-World</t>
  </si>
  <si>
    <t>2012-JANUARY</t>
  </si>
  <si>
    <t>2012-FEBRUARY</t>
  </si>
  <si>
    <t>2012-MARCH</t>
  </si>
  <si>
    <t>2012-APRIL</t>
  </si>
  <si>
    <t>2012-MAY</t>
  </si>
  <si>
    <t>2012-JUNE</t>
  </si>
  <si>
    <t>2012-JULY</t>
  </si>
  <si>
    <t>2012-AUGUST</t>
  </si>
  <si>
    <t>2012-SEPTEMBER</t>
  </si>
  <si>
    <t>2012-OCTOBER</t>
  </si>
  <si>
    <t>2012-NOVEMBER</t>
  </si>
  <si>
    <t>2012-DECEMBER</t>
  </si>
  <si>
    <t>2013-JANUARY</t>
  </si>
  <si>
    <t>2013-FEBRUARY</t>
  </si>
  <si>
    <t>2013-MARCH</t>
  </si>
  <si>
    <t>2013-APRIL</t>
  </si>
  <si>
    <t>2013-MAY</t>
  </si>
  <si>
    <t>2013-JUNE</t>
  </si>
  <si>
    <t>2013-JULY</t>
  </si>
  <si>
    <t>2013-AUGUST</t>
  </si>
  <si>
    <t>2013-SEPTEMBER</t>
  </si>
  <si>
    <t>2013-OCTOBER</t>
  </si>
  <si>
    <t>2013-NOVEMBER</t>
  </si>
  <si>
    <t>2013-DECEMBER</t>
  </si>
  <si>
    <t>2014-JANUARY</t>
  </si>
  <si>
    <t>2014-FEBRUARY</t>
  </si>
  <si>
    <t>2014-MARCH</t>
  </si>
  <si>
    <t>2014-APRIL</t>
  </si>
  <si>
    <t>2014-MAY</t>
  </si>
  <si>
    <t>2014-JUNE</t>
  </si>
  <si>
    <t>2014-JULY</t>
  </si>
  <si>
    <t>2014-AUGUST</t>
  </si>
  <si>
    <t>55-Inovev-Registrations-World-Makes-Monthly-Achievements</t>
  </si>
  <si>
    <t>2014-SEPTEMBER</t>
  </si>
  <si>
    <t>2014-OCTOBER</t>
  </si>
  <si>
    <t>PC sales by carmakers for Europe (17 and 29 countries)</t>
  </si>
  <si>
    <t>CROATIA</t>
  </si>
  <si>
    <t>CYPRUS</t>
  </si>
  <si>
    <t>2014-NOVEMBER</t>
  </si>
  <si>
    <t>2011-JANUARY</t>
  </si>
  <si>
    <t>2011-FEBRUARY</t>
  </si>
  <si>
    <t>2011-MARCH</t>
  </si>
  <si>
    <t>2011-APRIL</t>
  </si>
  <si>
    <t>2011-MAY</t>
  </si>
  <si>
    <t>2011-JUNE</t>
  </si>
  <si>
    <t>2011-JULY</t>
  </si>
  <si>
    <t>2011-AUGUST</t>
  </si>
  <si>
    <t>2011-SEPTEMBER</t>
  </si>
  <si>
    <t>2011-OCTOBER</t>
  </si>
  <si>
    <t>2011-NOVEMBER</t>
  </si>
  <si>
    <t>2011-DECEMBER</t>
  </si>
  <si>
    <t>2014-DECEMBER</t>
  </si>
  <si>
    <t>EUROPE 29</t>
  </si>
  <si>
    <t>2015-JANUARY</t>
  </si>
  <si>
    <t>FCA GROUP</t>
  </si>
  <si>
    <t>2015-FEBRUARY</t>
  </si>
  <si>
    <t>2015-MARCH</t>
  </si>
  <si>
    <t>PC-sales-Carmakers-Europe 29 countries</t>
  </si>
  <si>
    <t>2015-APRIL</t>
  </si>
  <si>
    <t>2015-MAY</t>
  </si>
  <si>
    <t>2015-JUNE</t>
  </si>
  <si>
    <t>2015-JULY</t>
  </si>
  <si>
    <t>2015-AUGUST</t>
  </si>
  <si>
    <t>2015-SEPTEMBER</t>
  </si>
  <si>
    <t>2015-OCTOBER</t>
  </si>
  <si>
    <t>2015-NOVEMBER</t>
  </si>
  <si>
    <t>2015-DECEMBER</t>
  </si>
  <si>
    <t>2016-JANUARY</t>
  </si>
  <si>
    <t>RENAULT-NISSAN GROUP</t>
  </si>
  <si>
    <t>2016-FEBRUARY</t>
  </si>
  <si>
    <t>2016-MARCH</t>
  </si>
  <si>
    <t>2016-APRIL</t>
  </si>
  <si>
    <t>2016-MAY</t>
  </si>
  <si>
    <t>2016-JUNE</t>
  </si>
  <si>
    <t>2016-JULY</t>
  </si>
  <si>
    <t>2016-AUGUST</t>
  </si>
  <si>
    <t>2016-SEPTEMBER</t>
  </si>
  <si>
    <t>2016-OCTOBER</t>
  </si>
  <si>
    <t>2016-NOVEMBER</t>
  </si>
  <si>
    <t>2016-DECEMBER</t>
  </si>
  <si>
    <t>2017-JANUARY</t>
  </si>
  <si>
    <t>2017-FEBRUARY</t>
  </si>
  <si>
    <t>2017-MARCH</t>
  </si>
  <si>
    <t>2017-APRIL</t>
  </si>
  <si>
    <t>2017-MAY</t>
  </si>
  <si>
    <t>2017-JUNE</t>
  </si>
  <si>
    <t>2017-JULY</t>
  </si>
  <si>
    <t>2017-AUGUST</t>
  </si>
  <si>
    <t>2017-SEPTEMBER</t>
  </si>
  <si>
    <t>2017-OCTOBER</t>
  </si>
  <si>
    <t>2017-NOVEMBER</t>
  </si>
  <si>
    <t>2017-DECEMBER</t>
  </si>
  <si>
    <t>2018-JANUARY</t>
  </si>
  <si>
    <t>2018-FEBRUARY</t>
  </si>
  <si>
    <t>2018-MARCH</t>
  </si>
  <si>
    <t>2018-APRIL</t>
  </si>
  <si>
    <t>2018-MAY</t>
  </si>
  <si>
    <t>2018-JUNE</t>
  </si>
  <si>
    <t>2018-JULY</t>
  </si>
  <si>
    <t>2018-AUGUST</t>
  </si>
  <si>
    <t>2018-SEPTEMBER</t>
  </si>
  <si>
    <t>2018-OCTOBER</t>
  </si>
  <si>
    <t>2018-NOVEMBER</t>
  </si>
  <si>
    <t>2018-DECEMBER</t>
  </si>
  <si>
    <t>2019-JANUARY</t>
  </si>
  <si>
    <t>2019-FEBRUARY</t>
  </si>
  <si>
    <t>2019-MARCH</t>
  </si>
  <si>
    <t>2019-APRIL</t>
  </si>
  <si>
    <t>2019-MAY</t>
  </si>
  <si>
    <t>2019-JUNE</t>
  </si>
  <si>
    <t>2019-JULY</t>
  </si>
  <si>
    <t>2019-AUGUST</t>
  </si>
  <si>
    <t>2019-SEPTEMBER</t>
  </si>
  <si>
    <t>2019-OCTOBER</t>
  </si>
  <si>
    <t>2019-NOVEMBER</t>
  </si>
  <si>
    <t>2019-DECEMBER</t>
  </si>
  <si>
    <t>RENAULT-NISSAN</t>
  </si>
  <si>
    <t>TOYOTA GROUP</t>
  </si>
  <si>
    <t>HONDA</t>
  </si>
  <si>
    <t>MAZDA</t>
  </si>
  <si>
    <t>SUZUKI</t>
  </si>
  <si>
    <t>SUBARU</t>
  </si>
  <si>
    <t>TESLA</t>
  </si>
  <si>
    <t>2020-JANUARY</t>
  </si>
  <si>
    <t>2020-FEBRUARY</t>
  </si>
  <si>
    <t>2020-MARCH</t>
  </si>
  <si>
    <t>2020-APRIL</t>
  </si>
  <si>
    <t>2020-MAY</t>
  </si>
  <si>
    <t>2020-JUNE</t>
  </si>
  <si>
    <t>2020-JULY</t>
  </si>
  <si>
    <t>2020-AUGUST</t>
  </si>
  <si>
    <t>2020-SEPTEMBER</t>
  </si>
  <si>
    <t>2020-OCTOBER</t>
  </si>
  <si>
    <t>2020-NOVEMBER</t>
  </si>
  <si>
    <t>2020-DECEMBER</t>
  </si>
  <si>
    <t>RUSSIA (incl. LUV)</t>
  </si>
  <si>
    <t>2021-JANUARY</t>
  </si>
  <si>
    <t>2021-FEBRUARY</t>
  </si>
  <si>
    <t>2021-MARCH</t>
  </si>
  <si>
    <t>2021-APRIL</t>
  </si>
  <si>
    <t>2021-MAY</t>
  </si>
  <si>
    <t>2021-JUNE</t>
  </si>
  <si>
    <t>2021-JULY</t>
  </si>
  <si>
    <t>2021-AUGUST</t>
  </si>
  <si>
    <t>2021-SEPTEMBER</t>
  </si>
  <si>
    <t>2021-OCTOBER</t>
  </si>
  <si>
    <t>2021-NOVEMBER</t>
  </si>
  <si>
    <t>2021-DECEMBER</t>
  </si>
  <si>
    <t>STELLANTIS</t>
  </si>
  <si>
    <t xml:space="preserve"> USA</t>
  </si>
  <si>
    <t>2022-JANUARY</t>
  </si>
  <si>
    <t>2022</t>
  </si>
  <si>
    <t>MERCEDES GROUP</t>
  </si>
  <si>
    <t>OTHERS</t>
  </si>
  <si>
    <t>2022-FEBRUARY</t>
  </si>
  <si>
    <t>2022-MARCH</t>
  </si>
  <si>
    <t>2022-APRIL</t>
  </si>
  <si>
    <t>2022-MAY</t>
  </si>
  <si>
    <t>2022--MAY</t>
  </si>
  <si>
    <t>2022-JUNE</t>
  </si>
  <si>
    <t>2022-JULY</t>
  </si>
  <si>
    <t>2022-AUGUST</t>
  </si>
  <si>
    <t>2022-SEPTEMBER</t>
  </si>
  <si>
    <t>2022-OCTOBER</t>
  </si>
  <si>
    <t>2022-NOVEMBER</t>
  </si>
  <si>
    <t>2022-DECEMBER</t>
  </si>
  <si>
    <t>DENMARK</t>
  </si>
  <si>
    <t>FINLAND</t>
  </si>
  <si>
    <t>NORWAY</t>
  </si>
  <si>
    <t>2023-JANUARY</t>
  </si>
  <si>
    <t>2023</t>
  </si>
  <si>
    <t>2023-FEBRUARY</t>
  </si>
  <si>
    <t>2023-MARCH</t>
  </si>
  <si>
    <t>2023-APRIL</t>
  </si>
  <si>
    <t>2023-MAY</t>
  </si>
  <si>
    <t>2023-JUNE</t>
  </si>
  <si>
    <t>2023-JULY</t>
  </si>
  <si>
    <t>2023-AUGUST</t>
  </si>
  <si>
    <t>2023-SEPTEMBER</t>
  </si>
  <si>
    <t>2023-OCTOBER</t>
  </si>
  <si>
    <t>2023-NOVEMBER</t>
  </si>
  <si>
    <t>2023-DECEMBER</t>
  </si>
  <si>
    <t>2024-03</t>
  </si>
  <si>
    <t>Delta 01 month 2024 - 01 month 2023</t>
  </si>
  <si>
    <t>2024-JANUARY</t>
  </si>
  <si>
    <t>2024</t>
  </si>
  <si>
    <t>RENAULT</t>
  </si>
  <si>
    <t>NISSAN</t>
  </si>
  <si>
    <t>2024-02</t>
  </si>
  <si>
    <t>28/03/2024</t>
  </si>
  <si>
    <t>Cumul 02 months 2023</t>
  </si>
  <si>
    <t>Cumul 02 months 2024</t>
  </si>
  <si>
    <t>Delta 02 months 2024 - 02 months 2023</t>
  </si>
  <si>
    <t>RUSSIA (2023 incl. LUV)</t>
  </si>
  <si>
    <t>2024-FEBRUARY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</si>
</sst>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&quot;n.a.&quot;"/>
    <numFmt numFmtId="166" formatCode="dd/mm/yy;@"/>
    <numFmt numFmtId="167" formatCode="_-* #,##0\ _F_-;\-* #,##0\ _F_-;_-* &quot;-&quot;??\ _F_-;_-@_-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3BAC36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 Unicode MS"/>
      <family val="2"/>
    </font>
    <font>
      <sz val="8"/>
      <color rgb="FF000000"/>
      <name val="Arial Unicode MS"/>
      <family val="2"/>
    </font>
    <font>
      <sz val="10"/>
      <color rgb="FF000000"/>
      <name val="Arial Unicode MS"/>
      <family val="2"/>
    </font>
    <font>
      <sz val="10"/>
      <color theme="1"/>
      <name val="Arial Unicode MS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465926084170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24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5" fillId="2" borderId="0" applyNumberFormat="0" applyFont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11" fillId="0" borderId="0" xfId="0" applyFont="1"/>
    <xf numFmtId="0" fontId="1" fillId="0" borderId="0" xfId="0" applyFont="1"/>
    <xf numFmtId="0" fontId="4" fillId="0" borderId="0" xfId="5" applyFont="1"/>
    <xf numFmtId="0" fontId="4" fillId="0" borderId="0" xfId="5" applyFont="1" applyAlignment="1">
      <alignment horizontal="left"/>
    </xf>
    <xf numFmtId="0" fontId="14" fillId="0" borderId="0" xfId="3" applyAlignment="1">
      <alignment horizontal="center" vertical="center"/>
    </xf>
    <xf numFmtId="0" fontId="14" fillId="0" borderId="0" xfId="3" applyAlignment="1">
      <alignment horizontal="center"/>
    </xf>
    <xf numFmtId="49" fontId="0" fillId="0" borderId="0" xfId="0" applyNumberFormat="1"/>
    <xf numFmtId="0" fontId="1" fillId="0" borderId="0" xfId="0" quotePrefix="1" applyFont="1"/>
    <xf numFmtId="167" fontId="2" fillId="0" borderId="0" xfId="0" applyNumberFormat="1" applyFont="1"/>
    <xf numFmtId="0" fontId="12" fillId="0" borderId="0" xfId="0" applyFont="1"/>
    <xf numFmtId="0" fontId="13" fillId="0" borderId="0" xfId="0" applyFont="1"/>
    <xf numFmtId="167" fontId="11" fillId="0" borderId="0" xfId="0" applyNumberFormat="1" applyFont="1"/>
    <xf numFmtId="0" fontId="15" fillId="10" borderId="6" xfId="7" applyNumberFormat="1" applyFont="1" applyFill="1" applyBorder="1" applyAlignment="1">
      <alignment horizontal="right"/>
    </xf>
    <xf numFmtId="0" fontId="10" fillId="10" borderId="9" xfId="7" applyNumberFormat="1" applyFont="1" applyFill="1" applyBorder="1"/>
    <xf numFmtId="0" fontId="8" fillId="10" borderId="9" xfId="7" applyNumberFormat="1" applyFont="1" applyFill="1" applyBorder="1"/>
    <xf numFmtId="0" fontId="6" fillId="10" borderId="9" xfId="7" applyNumberFormat="1" applyFont="1" applyFill="1" applyBorder="1" applyAlignment="1">
      <alignment horizontal="left"/>
    </xf>
    <xf numFmtId="0" fontId="7" fillId="10" borderId="7" xfId="7" applyNumberFormat="1" applyFont="1" applyFill="1" applyBorder="1" applyAlignment="1">
      <alignment horizontal="right"/>
    </xf>
    <xf numFmtId="0" fontId="10" fillId="10" borderId="0" xfId="7" applyNumberFormat="1" applyFont="1" applyFill="1" applyBorder="1"/>
    <xf numFmtId="0" fontId="8" fillId="10" borderId="0" xfId="7" applyNumberFormat="1" applyFont="1" applyFill="1" applyBorder="1"/>
    <xf numFmtId="0" fontId="6" fillId="10" borderId="0" xfId="7" applyNumberFormat="1" applyFont="1" applyFill="1" applyBorder="1" applyAlignment="1">
      <alignment horizontal="left"/>
    </xf>
    <xf numFmtId="0" fontId="14" fillId="10" borderId="3" xfId="3" applyNumberFormat="1" applyFill="1" applyBorder="1"/>
    <xf numFmtId="0" fontId="14" fillId="10" borderId="0" xfId="3" applyNumberFormat="1" applyFill="1" applyBorder="1"/>
    <xf numFmtId="0" fontId="14" fillId="10" borderId="4" xfId="3" applyNumberFormat="1" applyFill="1" applyBorder="1"/>
    <xf numFmtId="0" fontId="6" fillId="10" borderId="8" xfId="7" applyNumberFormat="1" applyFont="1" applyFill="1" applyBorder="1"/>
    <xf numFmtId="0" fontId="0" fillId="11" borderId="10" xfId="0" applyFill="1" applyBorder="1"/>
    <xf numFmtId="0" fontId="6" fillId="10" borderId="7" xfId="7" applyNumberFormat="1" applyFont="1" applyFill="1" applyBorder="1"/>
    <xf numFmtId="0" fontId="6" fillId="10" borderId="0" xfId="7" applyNumberFormat="1" applyFont="1" applyFill="1" applyBorder="1"/>
    <xf numFmtId="0" fontId="15" fillId="10" borderId="7" xfId="7" applyNumberFormat="1" applyFont="1" applyFill="1" applyBorder="1" applyAlignment="1">
      <alignment horizontal="right"/>
    </xf>
    <xf numFmtId="0" fontId="9" fillId="10" borderId="0" xfId="7" applyNumberFormat="1" applyFont="1" applyFill="1" applyBorder="1" applyAlignment="1">
      <alignment horizontal="left"/>
    </xf>
    <xf numFmtId="0" fontId="15" fillId="10" borderId="0" xfId="7" applyNumberFormat="1" applyFont="1" applyFill="1" applyBorder="1" applyAlignment="1">
      <alignment horizontal="right"/>
    </xf>
    <xf numFmtId="0" fontId="9" fillId="10" borderId="0" xfId="7" applyNumberFormat="1" applyFont="1" applyFill="1" applyBorder="1"/>
    <xf numFmtId="0" fontId="9" fillId="10" borderId="0" xfId="7" applyNumberFormat="1" applyFont="1" applyFill="1" applyBorder="1" applyAlignment="1">
      <alignment horizontal="right"/>
    </xf>
    <xf numFmtId="0" fontId="15" fillId="10" borderId="0" xfId="7" applyNumberFormat="1" applyFont="1" applyFill="1" applyBorder="1" applyAlignment="1">
      <alignment horizontal="left"/>
    </xf>
    <xf numFmtId="0" fontId="7" fillId="10" borderId="0" xfId="7" applyNumberFormat="1" applyFont="1" applyFill="1" applyBorder="1" applyAlignment="1">
      <alignment horizontal="right"/>
    </xf>
    <xf numFmtId="166" fontId="9" fillId="10" borderId="0" xfId="7" quotePrefix="1" applyNumberFormat="1" applyFont="1" applyFill="1" applyBorder="1" applyAlignment="1">
      <alignment horizontal="left"/>
    </xf>
    <xf numFmtId="0" fontId="7" fillId="10" borderId="0" xfId="7" applyNumberFormat="1" applyFont="1" applyFill="1" applyBorder="1" applyAlignment="1">
      <alignment horizontal="left"/>
    </xf>
    <xf numFmtId="0" fontId="7" fillId="10" borderId="10" xfId="7" applyNumberFormat="1" applyFont="1" applyFill="1" applyBorder="1" applyAlignment="1">
      <alignment horizontal="right"/>
    </xf>
    <xf numFmtId="0" fontId="9" fillId="10" borderId="10" xfId="7" applyNumberFormat="1" applyFont="1" applyFill="1" applyBorder="1"/>
    <xf numFmtId="0" fontId="9" fillId="10" borderId="10" xfId="7" applyNumberFormat="1" applyFont="1" applyFill="1" applyBorder="1" applyAlignment="1">
      <alignment horizontal="left"/>
    </xf>
    <xf numFmtId="0" fontId="16" fillId="12" borderId="2" xfId="7" applyNumberFormat="1" applyFont="1" applyFill="1" applyBorder="1" applyAlignment="1">
      <alignment horizontal="center"/>
    </xf>
    <xf numFmtId="0" fontId="4" fillId="11" borderId="0" xfId="5" applyFont="1" applyFill="1"/>
    <xf numFmtId="0" fontId="4" fillId="11" borderId="10" xfId="5" applyFont="1" applyFill="1" applyBorder="1"/>
    <xf numFmtId="0" fontId="4" fillId="11" borderId="9" xfId="5" applyFont="1" applyFill="1" applyBorder="1"/>
    <xf numFmtId="0" fontId="4" fillId="11" borderId="11" xfId="5" applyFont="1" applyFill="1" applyBorder="1"/>
    <xf numFmtId="0" fontId="4" fillId="11" borderId="12" xfId="5" applyFont="1" applyFill="1" applyBorder="1"/>
    <xf numFmtId="0" fontId="4" fillId="11" borderId="5" xfId="5" applyFont="1" applyFill="1" applyBorder="1"/>
    <xf numFmtId="49" fontId="0" fillId="0" borderId="0" xfId="0" applyNumberFormat="1" applyAlignment="1">
      <alignment horizontal="center"/>
    </xf>
    <xf numFmtId="0" fontId="17" fillId="0" borderId="0" xfId="0" applyFont="1"/>
    <xf numFmtId="167" fontId="17" fillId="0" borderId="0" xfId="0" applyNumberFormat="1" applyFont="1"/>
    <xf numFmtId="0" fontId="18" fillId="0" borderId="0" xfId="0" applyFont="1"/>
    <xf numFmtId="0" fontId="11" fillId="4" borderId="2" xfId="0" applyFont="1" applyFill="1" applyBorder="1"/>
    <xf numFmtId="3" fontId="20" fillId="5" borderId="2" xfId="0" applyNumberFormat="1" applyFont="1" applyFill="1" applyBorder="1" applyAlignment="1">
      <alignment horizontal="center" textRotation="90"/>
    </xf>
    <xf numFmtId="167" fontId="11" fillId="4" borderId="3" xfId="1" applyNumberFormat="1" applyFont="1" applyFill="1" applyBorder="1" applyAlignment="1">
      <alignment horizontal="right"/>
    </xf>
    <xf numFmtId="167" fontId="11" fillId="9" borderId="2" xfId="1" applyNumberFormat="1" applyFont="1" applyFill="1" applyBorder="1"/>
    <xf numFmtId="10" fontId="19" fillId="9" borderId="1" xfId="0" applyNumberFormat="1" applyFont="1" applyFill="1" applyBorder="1"/>
    <xf numFmtId="167" fontId="11" fillId="0" borderId="3" xfId="1" applyNumberFormat="1" applyFont="1" applyFill="1" applyBorder="1"/>
    <xf numFmtId="0" fontId="11" fillId="4" borderId="3" xfId="0" applyFont="1" applyFill="1" applyBorder="1" applyAlignment="1">
      <alignment horizontal="right"/>
    </xf>
    <xf numFmtId="167" fontId="11" fillId="6" borderId="2" xfId="1" applyNumberFormat="1" applyFont="1" applyFill="1" applyBorder="1" applyAlignment="1">
      <alignment horizontal="right"/>
    </xf>
    <xf numFmtId="167" fontId="11" fillId="6" borderId="2" xfId="1" applyNumberFormat="1" applyFont="1" applyFill="1" applyBorder="1"/>
    <xf numFmtId="167" fontId="11" fillId="7" borderId="2" xfId="1" applyNumberFormat="1" applyFont="1" applyFill="1" applyBorder="1"/>
    <xf numFmtId="10" fontId="19" fillId="7" borderId="2" xfId="0" applyNumberFormat="1" applyFont="1" applyFill="1" applyBorder="1"/>
    <xf numFmtId="167" fontId="11" fillId="0" borderId="3" xfId="1" applyNumberFormat="1" applyFont="1" applyFill="1" applyBorder="1" applyAlignment="1">
      <alignment horizontal="center"/>
    </xf>
    <xf numFmtId="167" fontId="11" fillId="0" borderId="4" xfId="1" applyNumberFormat="1" applyFont="1" applyFill="1" applyBorder="1" applyAlignment="1">
      <alignment horizontal="center"/>
    </xf>
    <xf numFmtId="167" fontId="11" fillId="0" borderId="4" xfId="1" applyNumberFormat="1" applyFont="1" applyFill="1" applyBorder="1"/>
    <xf numFmtId="167" fontId="11" fillId="4" borderId="4" xfId="1" applyNumberFormat="1" applyFont="1" applyFill="1" applyBorder="1" applyAlignment="1">
      <alignment horizontal="right"/>
    </xf>
    <xf numFmtId="49" fontId="11" fillId="4" borderId="2" xfId="0" applyNumberFormat="1" applyFont="1" applyFill="1" applyBorder="1"/>
    <xf numFmtId="49" fontId="11" fillId="6" borderId="3" xfId="1" applyNumberFormat="1" applyFont="1" applyFill="1" applyBorder="1" applyAlignment="1">
      <alignment horizontal="right"/>
    </xf>
    <xf numFmtId="49" fontId="11" fillId="6" borderId="4" xfId="1" applyNumberFormat="1" applyFont="1" applyFill="1" applyBorder="1" applyAlignment="1">
      <alignment horizontal="right"/>
    </xf>
    <xf numFmtId="49" fontId="1" fillId="0" borderId="0" xfId="0" applyNumberFormat="1" applyFont="1"/>
    <xf numFmtId="0" fontId="11" fillId="8" borderId="7" xfId="0" applyFont="1" applyFill="1" applyBorder="1"/>
    <xf numFmtId="167" fontId="11" fillId="8" borderId="3" xfId="1" applyNumberFormat="1" applyFont="1" applyFill="1" applyBorder="1"/>
    <xf numFmtId="0" fontId="11" fillId="8" borderId="8" xfId="0" applyFont="1" applyFill="1" applyBorder="1"/>
    <xf numFmtId="167" fontId="11" fillId="8" borderId="4" xfId="1" applyNumberFormat="1" applyFont="1" applyFill="1" applyBorder="1"/>
    <xf numFmtId="49" fontId="11" fillId="4" borderId="2" xfId="0" applyNumberFormat="1" applyFont="1" applyFill="1" applyBorder="1" applyAlignment="1">
      <alignment horizontal="center"/>
    </xf>
    <xf numFmtId="49" fontId="11" fillId="6" borderId="3" xfId="1" applyNumberFormat="1" applyFont="1" applyFill="1" applyBorder="1" applyAlignment="1">
      <alignment horizontal="center"/>
    </xf>
    <xf numFmtId="49" fontId="11" fillId="6" borderId="4" xfId="1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7" fontId="11" fillId="0" borderId="3" xfId="1" applyNumberFormat="1" applyFont="1" applyFill="1" applyBorder="1" applyAlignment="1">
      <alignment horizontal="right"/>
    </xf>
    <xf numFmtId="3" fontId="21" fillId="5" borderId="2" xfId="0" applyNumberFormat="1" applyFont="1" applyFill="1" applyBorder="1" applyAlignment="1">
      <alignment horizontal="center" textRotation="90"/>
    </xf>
    <xf numFmtId="3" fontId="22" fillId="3" borderId="2" xfId="0" applyNumberFormat="1" applyFont="1" applyFill="1" applyBorder="1" applyAlignment="1">
      <alignment horizontal="center" textRotation="90"/>
    </xf>
    <xf numFmtId="3" fontId="22" fillId="3" borderId="1" xfId="0" applyNumberFormat="1" applyFont="1" applyFill="1" applyBorder="1" applyAlignment="1">
      <alignment horizontal="center" textRotation="90"/>
    </xf>
    <xf numFmtId="49" fontId="11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14" fillId="11" borderId="3" xfId="3" applyFill="1" applyBorder="1"/>
    <xf numFmtId="0" fontId="11" fillId="8" borderId="7" xfId="0" applyFont="1" applyFill="1" applyBorder="1" applyAlignment="1">
      <alignment horizontal="right"/>
    </xf>
    <xf numFmtId="0" fontId="11" fillId="8" borderId="4" xfId="0" applyFont="1" applyFill="1" applyBorder="1" applyAlignment="1">
      <alignment horizontal="right"/>
    </xf>
    <xf numFmtId="167" fontId="1" fillId="0" borderId="0" xfId="0" applyNumberFormat="1" applyFont="1"/>
    <xf numFmtId="167" fontId="13" fillId="0" borderId="0" xfId="0" applyNumberFormat="1" applyFont="1"/>
    <xf numFmtId="10" fontId="19" fillId="9" borderId="1" xfId="0" applyNumberFormat="1" applyFont="1" applyFill="1" applyBorder="1" applyAlignment="1">
      <alignment horizontal="right"/>
    </xf>
    <xf numFmtId="49" fontId="11" fillId="13" borderId="3" xfId="1" applyNumberFormat="1" applyFont="1" applyFill="1" applyBorder="1" applyAlignment="1">
      <alignment horizontal="right"/>
    </xf>
    <xf numFmtId="49" fontId="11" fillId="13" borderId="4" xfId="1" applyNumberFormat="1" applyFont="1" applyFill="1" applyBorder="1" applyAlignment="1">
      <alignment horizontal="right"/>
    </xf>
    <xf numFmtId="167" fontId="11" fillId="0" borderId="7" xfId="1" applyNumberFormat="1" applyFont="1" applyFill="1" applyBorder="1"/>
    <xf numFmtId="167" fontId="11" fillId="0" borderId="12" xfId="1" applyNumberFormat="1" applyFont="1" applyFill="1" applyBorder="1"/>
    <xf numFmtId="167" fontId="11" fillId="0" borderId="3" xfId="1" applyNumberFormat="1" applyFont="1" applyBorder="1"/>
    <xf numFmtId="49" fontId="11" fillId="6" borderId="8" xfId="1" applyNumberFormat="1" applyFont="1" applyFill="1" applyBorder="1" applyAlignment="1">
      <alignment horizontal="right"/>
    </xf>
    <xf numFmtId="167" fontId="11" fillId="14" borderId="4" xfId="1" applyNumberFormat="1" applyFont="1" applyFill="1" applyBorder="1"/>
    <xf numFmtId="167" fontId="11" fillId="15" borderId="3" xfId="1" applyNumberFormat="1" applyFont="1" applyFill="1" applyBorder="1"/>
    <xf numFmtId="0" fontId="14" fillId="0" borderId="0" xfId="3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2 2" xfId="5" xr:uid="{00000000-0005-0000-0000-000005000000}"/>
    <cellStyle name="Percent 2" xfId="6" xr:uid="{00000000-0005-0000-0000-000006000000}"/>
    <cellStyle name="Prodvev" xfId="7" xr:uid="{00000000-0005-0000-0000-000007000000}"/>
  </cellStyles>
  <dxfs count="0"/>
  <tableStyles count="0" defaultTableStyle="TableStyleMedium2" defaultPivotStyle="PivotStyleLight16"/>
  <colors>
    <mruColors>
      <color rgb="FFFFFF99"/>
      <color rgb="FF3BA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'PC-sales-countries-World-123'!$C$7:$N$7</c:f>
              <c:numCache>
                <c:formatCode>_-* #,##0\ _F_-;\-* #,##0\ _F_-;_-* "-"??\ _F_-;_-@_-</c:formatCode>
                <c:ptCount val="12"/>
                <c:pt idx="0">
                  <c:v>29302</c:v>
                </c:pt>
                <c:pt idx="1">
                  <c:v>18616</c:v>
                </c:pt>
                <c:pt idx="2">
                  <c:v>21932</c:v>
                </c:pt>
                <c:pt idx="3">
                  <c:v>20121</c:v>
                </c:pt>
                <c:pt idx="4">
                  <c:v>22364</c:v>
                </c:pt>
                <c:pt idx="5">
                  <c:v>20387</c:v>
                </c:pt>
                <c:pt idx="6">
                  <c:v>22960</c:v>
                </c:pt>
                <c:pt idx="7">
                  <c:v>24476</c:v>
                </c:pt>
                <c:pt idx="8">
                  <c:v>21660</c:v>
                </c:pt>
                <c:pt idx="9">
                  <c:v>19020</c:v>
                </c:pt>
                <c:pt idx="10">
                  <c:v>28138</c:v>
                </c:pt>
                <c:pt idx="11">
                  <c:v>11871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5-4128-9F24-235A330E5FF8}"/>
            </c:ext>
          </c:extLst>
        </c:ser>
        <c:ser>
          <c:idx val="1"/>
          <c:order val="1"/>
          <c:tx>
            <c:strRef>
              <c:f>'PC-sales-countries-World-123'!$B$8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'PC-sales-countries-World-123'!$C$8:$N$8</c:f>
              <c:numCache>
                <c:formatCode>_-* #,##0\ _F_-;\-* #,##0\ _F_-;_-* "-"??\ _F_-;_-@_-</c:formatCode>
                <c:ptCount val="12"/>
                <c:pt idx="0">
                  <c:v>32486</c:v>
                </c:pt>
                <c:pt idx="1">
                  <c:v>19085</c:v>
                </c:pt>
                <c:pt idx="2">
                  <c:v>20973</c:v>
                </c:pt>
                <c:pt idx="3">
                  <c:v>21448</c:v>
                </c:pt>
                <c:pt idx="4">
                  <c:v>23548</c:v>
                </c:pt>
                <c:pt idx="5">
                  <c:v>24579</c:v>
                </c:pt>
                <c:pt idx="6">
                  <c:v>27708</c:v>
                </c:pt>
                <c:pt idx="7">
                  <c:v>23181</c:v>
                </c:pt>
                <c:pt idx="8">
                  <c:v>19154</c:v>
                </c:pt>
                <c:pt idx="9">
                  <c:v>25476</c:v>
                </c:pt>
                <c:pt idx="10">
                  <c:v>21760</c:v>
                </c:pt>
                <c:pt idx="11">
                  <c:v>9419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5-4128-9F24-235A330E5FF8}"/>
            </c:ext>
          </c:extLst>
        </c:ser>
        <c:ser>
          <c:idx val="2"/>
          <c:order val="2"/>
          <c:tx>
            <c:strRef>
              <c:f>'PC-sales-countries-World-123'!$B$9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'PC-sales-countries-World-123'!$C$9:$N$9</c:f>
              <c:numCache>
                <c:formatCode>_-* #,##0\ _F_-;\-* #,##0\ _F_-;_-* "-"??\ _F_-;_-@_-</c:formatCode>
                <c:ptCount val="12"/>
                <c:pt idx="0">
                  <c:v>22076</c:v>
                </c:pt>
                <c:pt idx="1">
                  <c:v>15306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5-4128-9F24-235A330E5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07040"/>
        <c:axId val="49609344"/>
      </c:lineChart>
      <c:catAx>
        <c:axId val="496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609344"/>
        <c:crosses val="autoZero"/>
        <c:auto val="1"/>
        <c:lblAlgn val="ctr"/>
        <c:lblOffset val="100"/>
        <c:noMultiLvlLbl val="0"/>
      </c:catAx>
      <c:valAx>
        <c:axId val="4960934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60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12633131602354"/>
          <c:y val="0.37875074083481503"/>
          <c:w val="0.15145723520097176"/>
          <c:h val="0.24253344340022015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'PC-sales-countries-World-123'!$B$49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'PC-sales-countries-World-123'!$C$49:$N$49</c:f>
              <c:numCache>
                <c:formatCode>_-* #,##0\ _F_-;\-* #,##0\ _F_-;_-* "-"??\ _F_-;_-@_-</c:formatCode>
                <c:ptCount val="12"/>
                <c:pt idx="0">
                  <c:v>8088</c:v>
                </c:pt>
                <c:pt idx="1">
                  <c:v>9449</c:v>
                </c:pt>
                <c:pt idx="2">
                  <c:v>11153</c:v>
                </c:pt>
                <c:pt idx="3">
                  <c:v>9090</c:v>
                </c:pt>
                <c:pt idx="4">
                  <c:v>10139</c:v>
                </c:pt>
                <c:pt idx="5">
                  <c:v>9492</c:v>
                </c:pt>
                <c:pt idx="6">
                  <c:v>8951</c:v>
                </c:pt>
                <c:pt idx="7">
                  <c:v>9987</c:v>
                </c:pt>
                <c:pt idx="8">
                  <c:v>9419</c:v>
                </c:pt>
                <c:pt idx="9">
                  <c:v>8259</c:v>
                </c:pt>
                <c:pt idx="10">
                  <c:v>9497</c:v>
                </c:pt>
                <c:pt idx="11">
                  <c:v>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9-479D-BFF1-FF3A44C164F8}"/>
            </c:ext>
          </c:extLst>
        </c:ser>
        <c:ser>
          <c:idx val="1"/>
          <c:order val="1"/>
          <c:tx>
            <c:strRef>
              <c:f>'PC-sales-countries-World-123'!$B$50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'PC-sales-countries-World-123'!$C$50:$N$50</c:f>
              <c:numCache>
                <c:formatCode>_-* #,##0\ _F_-;\-* #,##0\ _F_-;_-* "-"??\ _F_-;_-@_-</c:formatCode>
                <c:ptCount val="12"/>
                <c:pt idx="0">
                  <c:v>8314</c:v>
                </c:pt>
                <c:pt idx="1">
                  <c:v>9748</c:v>
                </c:pt>
                <c:pt idx="2">
                  <c:v>11498</c:v>
                </c:pt>
                <c:pt idx="3">
                  <c:v>8549</c:v>
                </c:pt>
                <c:pt idx="4">
                  <c:v>8998</c:v>
                </c:pt>
                <c:pt idx="5">
                  <c:v>9360</c:v>
                </c:pt>
                <c:pt idx="6">
                  <c:v>8440</c:v>
                </c:pt>
                <c:pt idx="7">
                  <c:v>8951</c:v>
                </c:pt>
                <c:pt idx="8">
                  <c:v>9151</c:v>
                </c:pt>
                <c:pt idx="9">
                  <c:v>8404</c:v>
                </c:pt>
                <c:pt idx="10">
                  <c:v>8330</c:v>
                </c:pt>
                <c:pt idx="11">
                  <c:v>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C-4178-8697-1424423D8DDE}"/>
            </c:ext>
          </c:extLst>
        </c:ser>
        <c:ser>
          <c:idx val="2"/>
          <c:order val="2"/>
          <c:tx>
            <c:strRef>
              <c:f>'PC-sales-countries-World-123'!$B$51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'PC-sales-countries-World-123'!$C$51:$N$51</c:f>
              <c:numCache>
                <c:formatCode>_-* #,##0\ _F_-;\-* #,##0\ _F_-;_-* "-"??\ _F_-;_-@_-</c:formatCode>
                <c:ptCount val="12"/>
                <c:pt idx="0">
                  <c:v>8040</c:v>
                </c:pt>
                <c:pt idx="1">
                  <c:v>10735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C-4178-8697-1424423D8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400"/>
      </c:lineChart>
      <c:catAx>
        <c:axId val="604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86400"/>
        <c:crosses val="autoZero"/>
        <c:auto val="1"/>
        <c:lblAlgn val="ctr"/>
        <c:lblOffset val="100"/>
        <c:noMultiLvlLbl val="0"/>
      </c:catAx>
      <c:valAx>
        <c:axId val="6048640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8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13384029051163"/>
          <c:y val="0.38034002381002113"/>
          <c:w val="0.1268813202425749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'LUV-sales-countries-Cumul-World'!$B$27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'LUV-sales-countries-Cumul-World'!$C$27:$N$27</c:f>
              <c:numCache>
                <c:formatCode>_-* #,##0\ _F_-;\-* #,##0\ _F_-;_-* "-"??\ _F_-;_-@_-</c:formatCode>
                <c:ptCount val="12"/>
                <c:pt idx="0">
                  <c:v>112939</c:v>
                </c:pt>
                <c:pt idx="1">
                  <c:v>228074</c:v>
                </c:pt>
                <c:pt idx="2">
                  <c:v>348754</c:v>
                </c:pt>
                <c:pt idx="3">
                  <c:v>420425</c:v>
                </c:pt>
                <c:pt idx="4">
                  <c:v>494998</c:v>
                </c:pt>
                <c:pt idx="5">
                  <c:v>573266</c:v>
                </c:pt>
                <c:pt idx="6">
                  <c:v>649944</c:v>
                </c:pt>
                <c:pt idx="7">
                  <c:v>725444</c:v>
                </c:pt>
                <c:pt idx="8">
                  <c:v>804963</c:v>
                </c:pt>
                <c:pt idx="9">
                  <c:v>865675</c:v>
                </c:pt>
                <c:pt idx="10">
                  <c:v>923178</c:v>
                </c:pt>
                <c:pt idx="11">
                  <c:v>971423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2-4A28-82C1-C2A7C38980BE}"/>
            </c:ext>
          </c:extLst>
        </c:ser>
        <c:ser>
          <c:idx val="1"/>
          <c:order val="1"/>
          <c:tx>
            <c:strRef>
              <c:f>'LUV-sales-countries-Cumul-World'!$B$28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'LUV-sales-countries-Cumul-World'!$C$28:$N$28</c:f>
              <c:numCache>
                <c:formatCode>_-* #,##0\ _F_-;\-* #,##0\ _F_-;_-* "-"??\ _F_-;_-@_-</c:formatCode>
                <c:ptCount val="12"/>
                <c:pt idx="0">
                  <c:v>94316</c:v>
                </c:pt>
                <c:pt idx="1">
                  <c:v>185670</c:v>
                </c:pt>
                <c:pt idx="2">
                  <c:v>279158</c:v>
                </c:pt>
                <c:pt idx="3">
                  <c:v>388413</c:v>
                </c:pt>
                <c:pt idx="4">
                  <c:v>489685</c:v>
                </c:pt>
                <c:pt idx="5">
                  <c:v>592173</c:v>
                </c:pt>
                <c:pt idx="6">
                  <c:v>717146</c:v>
                </c:pt>
                <c:pt idx="7">
                  <c:v>848597</c:v>
                </c:pt>
                <c:pt idx="8">
                  <c:v>933334</c:v>
                </c:pt>
                <c:pt idx="9">
                  <c:v>1025753</c:v>
                </c:pt>
                <c:pt idx="10">
                  <c:v>1103476</c:v>
                </c:pt>
                <c:pt idx="11">
                  <c:v>1167778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3-4BAE-8D98-1ECF8AF86674}"/>
            </c:ext>
          </c:extLst>
        </c:ser>
        <c:ser>
          <c:idx val="2"/>
          <c:order val="2"/>
          <c:tx>
            <c:strRef>
              <c:f>'LUV-sales-countries-Cumul-World'!$B$29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'LUV-sales-countries-Cumul-World'!$C$29:$N$29</c:f>
              <c:numCache>
                <c:formatCode>_-* #,##0\ _F_-;\-* #,##0\ _F_-;_-* "-"??\ _F_-;_-@_-</c:formatCode>
                <c:ptCount val="12"/>
                <c:pt idx="0">
                  <c:v>94000</c:v>
                </c:pt>
                <c:pt idx="1">
                  <c:v>188000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3-4BAE-8D98-1ECF8AF86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700992"/>
        <c:axId val="367715072"/>
      </c:lineChart>
      <c:catAx>
        <c:axId val="3677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715072"/>
        <c:crosses val="autoZero"/>
        <c:auto val="1"/>
        <c:lblAlgn val="ctr"/>
        <c:lblOffset val="100"/>
        <c:noMultiLvlLbl val="0"/>
      </c:catAx>
      <c:valAx>
        <c:axId val="36771507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70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034002381002113"/>
          <c:w val="0.121311475409836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'LUV-sales-countries-Cumul-World'!$B$15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'LUV-sales-countries-Cumul-World'!$C$15:$N$15</c:f>
              <c:numCache>
                <c:formatCode>_-* #,##0\ _F_-;\-* #,##0\ _F_-;_-* "-"??\ _F_-;_-@_-</c:formatCode>
                <c:ptCount val="12"/>
                <c:pt idx="0">
                  <c:v>34274</c:v>
                </c:pt>
                <c:pt idx="1">
                  <c:v>65960</c:v>
                </c:pt>
                <c:pt idx="2">
                  <c:v>105126</c:v>
                </c:pt>
                <c:pt idx="3">
                  <c:v>142661</c:v>
                </c:pt>
                <c:pt idx="4">
                  <c:v>190242</c:v>
                </c:pt>
                <c:pt idx="5">
                  <c:v>234718</c:v>
                </c:pt>
                <c:pt idx="6">
                  <c:v>281281</c:v>
                </c:pt>
                <c:pt idx="7">
                  <c:v>334945</c:v>
                </c:pt>
                <c:pt idx="8">
                  <c:v>385686</c:v>
                </c:pt>
                <c:pt idx="9">
                  <c:v>429567</c:v>
                </c:pt>
                <c:pt idx="10">
                  <c:v>474795</c:v>
                </c:pt>
                <c:pt idx="11">
                  <c:v>527183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3-48F0-BF25-94258D4624D9}"/>
            </c:ext>
          </c:extLst>
        </c:ser>
        <c:ser>
          <c:idx val="1"/>
          <c:order val="1"/>
          <c:tx>
            <c:strRef>
              <c:f>'LUV-sales-countries-Cumul-World'!$B$16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'LUV-sales-countries-Cumul-World'!$C$16:$N$16</c:f>
              <c:numCache>
                <c:formatCode>_-* #,##0\ _F_-;\-* #,##0\ _F_-;_-* "-"??\ _F_-;_-@_-</c:formatCode>
                <c:ptCount val="12"/>
                <c:pt idx="0">
                  <c:v>38955</c:v>
                </c:pt>
                <c:pt idx="1">
                  <c:v>73020</c:v>
                </c:pt>
                <c:pt idx="2">
                  <c:v>125755</c:v>
                </c:pt>
                <c:pt idx="3">
                  <c:v>168312</c:v>
                </c:pt>
                <c:pt idx="4">
                  <c:v>207185</c:v>
                </c:pt>
                <c:pt idx="5">
                  <c:v>264842</c:v>
                </c:pt>
                <c:pt idx="6">
                  <c:v>313703</c:v>
                </c:pt>
                <c:pt idx="7">
                  <c:v>367942</c:v>
                </c:pt>
                <c:pt idx="8">
                  <c:v>409689</c:v>
                </c:pt>
                <c:pt idx="9">
                  <c:v>474186</c:v>
                </c:pt>
                <c:pt idx="10">
                  <c:v>526136</c:v>
                </c:pt>
                <c:pt idx="11">
                  <c:v>588032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6-4239-A2CA-C2636D889E3F}"/>
            </c:ext>
          </c:extLst>
        </c:ser>
        <c:ser>
          <c:idx val="2"/>
          <c:order val="2"/>
          <c:tx>
            <c:strRef>
              <c:f>'LUV-sales-countries-Cumul-World'!$B$17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'LUV-sales-countries-Cumul-World'!$C$17:$N$17</c:f>
              <c:numCache>
                <c:formatCode>_-* #,##0\ _F_-;\-* #,##0\ _F_-;_-* "-"??\ _F_-;_-@_-</c:formatCode>
                <c:ptCount val="12"/>
                <c:pt idx="0">
                  <c:v>43092</c:v>
                </c:pt>
                <c:pt idx="1">
                  <c:v>87983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6-4239-A2CA-C2636D889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41600"/>
        <c:axId val="412455680"/>
      </c:lineChart>
      <c:catAx>
        <c:axId val="4124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455680"/>
        <c:crosses val="autoZero"/>
        <c:auto val="1"/>
        <c:lblAlgn val="ctr"/>
        <c:lblOffset val="100"/>
        <c:noMultiLvlLbl val="0"/>
      </c:catAx>
      <c:valAx>
        <c:axId val="41245568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44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2381002113"/>
          <c:w val="0.127317922027368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'LUV-sales-countries-Cumul-World'!$B$39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'LUV-sales-countries-Cumul-World'!$C$39:$N$39</c:f>
              <c:numCache>
                <c:formatCode>_-* #,##0\ _F_-;\-* #,##0\ _F_-;_-* "-"??\ _F_-;_-@_-</c:formatCode>
                <c:ptCount val="12"/>
                <c:pt idx="0">
                  <c:v>9111</c:v>
                </c:pt>
                <c:pt idx="1">
                  <c:v>21122</c:v>
                </c:pt>
                <c:pt idx="2">
                  <c:v>35216</c:v>
                </c:pt>
                <c:pt idx="3">
                  <c:v>49687</c:v>
                </c:pt>
                <c:pt idx="4">
                  <c:v>63104</c:v>
                </c:pt>
                <c:pt idx="5">
                  <c:v>79622</c:v>
                </c:pt>
                <c:pt idx="6">
                  <c:v>90797</c:v>
                </c:pt>
                <c:pt idx="7">
                  <c:v>103903</c:v>
                </c:pt>
                <c:pt idx="8">
                  <c:v>121306</c:v>
                </c:pt>
                <c:pt idx="9">
                  <c:v>139088</c:v>
                </c:pt>
                <c:pt idx="10">
                  <c:v>162177</c:v>
                </c:pt>
                <c:pt idx="11">
                  <c:v>197349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F-4CD4-8A53-B990104C16B6}"/>
            </c:ext>
          </c:extLst>
        </c:ser>
        <c:ser>
          <c:idx val="1"/>
          <c:order val="1"/>
          <c:tx>
            <c:strRef>
              <c:f>'LUV-sales-countries-Cumul-World'!$B$40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'LUV-sales-countries-Cumul-World'!$C$40:$N$40</c:f>
              <c:numCache>
                <c:formatCode>_-* #,##0\ _F_-;\-* #,##0\ _F_-;_-* "-"??\ _F_-;_-@_-</c:formatCode>
                <c:ptCount val="12"/>
                <c:pt idx="0">
                  <c:v>13606</c:v>
                </c:pt>
                <c:pt idx="1">
                  <c:v>35847</c:v>
                </c:pt>
                <c:pt idx="2">
                  <c:v>60550</c:v>
                </c:pt>
                <c:pt idx="3">
                  <c:v>80831</c:v>
                </c:pt>
                <c:pt idx="4">
                  <c:v>104969</c:v>
                </c:pt>
                <c:pt idx="5">
                  <c:v>130135</c:v>
                </c:pt>
                <c:pt idx="6">
                  <c:v>156678</c:v>
                </c:pt>
                <c:pt idx="7">
                  <c:v>177001</c:v>
                </c:pt>
                <c:pt idx="8">
                  <c:v>194823</c:v>
                </c:pt>
                <c:pt idx="9">
                  <c:v>213579</c:v>
                </c:pt>
                <c:pt idx="10">
                  <c:v>237195</c:v>
                </c:pt>
                <c:pt idx="11">
                  <c:v>269432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A-4F14-B17B-07016C621D62}"/>
            </c:ext>
          </c:extLst>
        </c:ser>
        <c:ser>
          <c:idx val="2"/>
          <c:order val="2"/>
          <c:tx>
            <c:strRef>
              <c:f>'LUV-sales-countries-Cumul-World'!$B$41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'LUV-sales-countries-Cumul-World'!$C$41:$N$41</c:f>
              <c:numCache>
                <c:formatCode>_-* #,##0\ _F_-;\-* #,##0\ _F_-;_-* "-"??\ _F_-;_-@_-</c:formatCode>
                <c:ptCount val="12"/>
                <c:pt idx="0">
                  <c:v>15660</c:v>
                </c:pt>
                <c:pt idx="1">
                  <c:v>39373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A-4F14-B17B-07016C621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564096"/>
        <c:axId val="412569984"/>
      </c:lineChart>
      <c:catAx>
        <c:axId val="4125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569984"/>
        <c:crosses val="autoZero"/>
        <c:auto val="1"/>
        <c:lblAlgn val="ctr"/>
        <c:lblOffset val="100"/>
        <c:noMultiLvlLbl val="0"/>
      </c:catAx>
      <c:valAx>
        <c:axId val="41256998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56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236539876959824"/>
          <c:w val="0.12639971522629243"/>
          <c:h val="0.1929486807609216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'LUV-sales-countries-Cumul-World'!$B$36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'LUV-sales-countries-Cumul-World'!$C$36:$N$36</c:f>
              <c:numCache>
                <c:formatCode>_-* #,##0\ _F_-;\-* #,##0\ _F_-;_-* "-"??\ _F_-;_-@_-</c:formatCode>
                <c:ptCount val="12"/>
                <c:pt idx="0">
                  <c:v>41308</c:v>
                </c:pt>
                <c:pt idx="1">
                  <c:v>84052</c:v>
                </c:pt>
                <c:pt idx="2">
                  <c:v>135508</c:v>
                </c:pt>
                <c:pt idx="3">
                  <c:v>178445</c:v>
                </c:pt>
                <c:pt idx="4">
                  <c:v>226301</c:v>
                </c:pt>
                <c:pt idx="5">
                  <c:v>275278</c:v>
                </c:pt>
                <c:pt idx="6">
                  <c:v>322163</c:v>
                </c:pt>
                <c:pt idx="7">
                  <c:v>371852</c:v>
                </c:pt>
                <c:pt idx="8">
                  <c:v>419735</c:v>
                </c:pt>
                <c:pt idx="9">
                  <c:v>473885</c:v>
                </c:pt>
                <c:pt idx="10">
                  <c:v>528856</c:v>
                </c:pt>
                <c:pt idx="11">
                  <c:v>599065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A-4DE5-A5A5-DFCE9B340255}"/>
            </c:ext>
          </c:extLst>
        </c:ser>
        <c:ser>
          <c:idx val="1"/>
          <c:order val="1"/>
          <c:tx>
            <c:strRef>
              <c:f>'LUV-sales-countries-Cumul-World'!$B$37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'LUV-sales-countries-Cumul-World'!$C$37:$N$37</c:f>
              <c:numCache>
                <c:formatCode>_-* #,##0\ _F_-;\-* #,##0\ _F_-;_-* "-"??\ _F_-;_-@_-</c:formatCode>
                <c:ptCount val="12"/>
                <c:pt idx="0">
                  <c:v>53686</c:v>
                </c:pt>
                <c:pt idx="1">
                  <c:v>107305</c:v>
                </c:pt>
                <c:pt idx="2">
                  <c:v>170965</c:v>
                </c:pt>
                <c:pt idx="3">
                  <c:v>228686</c:v>
                </c:pt>
                <c:pt idx="4">
                  <c:v>289010</c:v>
                </c:pt>
                <c:pt idx="5">
                  <c:v>353672</c:v>
                </c:pt>
                <c:pt idx="6">
                  <c:v>416893</c:v>
                </c:pt>
                <c:pt idx="7">
                  <c:v>479997</c:v>
                </c:pt>
                <c:pt idx="8">
                  <c:v>547566</c:v>
                </c:pt>
                <c:pt idx="9">
                  <c:v>612383</c:v>
                </c:pt>
                <c:pt idx="10">
                  <c:v>683523</c:v>
                </c:pt>
                <c:pt idx="11">
                  <c:v>763342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2-4D41-9EAD-5E6291B2A9D2}"/>
            </c:ext>
          </c:extLst>
        </c:ser>
        <c:ser>
          <c:idx val="2"/>
          <c:order val="2"/>
          <c:tx>
            <c:strRef>
              <c:f>'LUV-sales-countries-Cumul-World'!$B$38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'LUV-sales-countries-Cumul-World'!$C$38:$N$38</c:f>
              <c:numCache>
                <c:formatCode>_-* #,##0\ _F_-;\-* #,##0\ _F_-;_-* "-"??\ _F_-;_-@_-</c:formatCode>
                <c:ptCount val="12"/>
                <c:pt idx="0">
                  <c:v>64123</c:v>
                </c:pt>
                <c:pt idx="1">
                  <c:v>129286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2-4D41-9EAD-5E6291B2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605056"/>
        <c:axId val="412610944"/>
      </c:lineChart>
      <c:catAx>
        <c:axId val="4126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610944"/>
        <c:crosses val="autoZero"/>
        <c:auto val="1"/>
        <c:lblAlgn val="ctr"/>
        <c:lblOffset val="100"/>
        <c:noMultiLvlLbl val="0"/>
      </c:catAx>
      <c:valAx>
        <c:axId val="41261094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60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80794790176594"/>
          <c:y val="0.38236539876959824"/>
          <c:w val="0.12111292962356793"/>
          <c:h val="0.1929486807609216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'LUV-sales-countries-Cumul-World'!$B$18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'LUV-sales-countries-Cumul-World'!$C$18:$N$18</c:f>
              <c:numCache>
                <c:formatCode>_-* #,##0\ _F_-;\-* #,##0\ _F_-;_-* "-"??\ _F_-;_-@_-</c:formatCode>
                <c:ptCount val="12"/>
                <c:pt idx="0">
                  <c:v>78212</c:v>
                </c:pt>
                <c:pt idx="1">
                  <c:v>161107</c:v>
                </c:pt>
                <c:pt idx="2">
                  <c:v>280778</c:v>
                </c:pt>
                <c:pt idx="3">
                  <c:v>400766</c:v>
                </c:pt>
                <c:pt idx="4">
                  <c:v>526835</c:v>
                </c:pt>
                <c:pt idx="5">
                  <c:v>632028</c:v>
                </c:pt>
                <c:pt idx="6">
                  <c:v>747127</c:v>
                </c:pt>
                <c:pt idx="7">
                  <c:v>857199</c:v>
                </c:pt>
                <c:pt idx="8">
                  <c:v>966445</c:v>
                </c:pt>
                <c:pt idx="9">
                  <c:v>1075158</c:v>
                </c:pt>
                <c:pt idx="10">
                  <c:v>1177759</c:v>
                </c:pt>
                <c:pt idx="11">
                  <c:v>1245376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B-4B93-9D0C-AC2CAB02F0E5}"/>
            </c:ext>
          </c:extLst>
        </c:ser>
        <c:ser>
          <c:idx val="1"/>
          <c:order val="1"/>
          <c:tx>
            <c:strRef>
              <c:f>'LUV-sales-countries-Cumul-World'!$B$19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'LUV-sales-countries-Cumul-World'!$C$19:$N$19</c:f>
              <c:numCache>
                <c:formatCode>_-* #,##0\ _F_-;\-* #,##0\ _F_-;_-* "-"??\ _F_-;_-@_-</c:formatCode>
                <c:ptCount val="12"/>
                <c:pt idx="0">
                  <c:v>84384</c:v>
                </c:pt>
                <c:pt idx="1">
                  <c:v>174869</c:v>
                </c:pt>
                <c:pt idx="2">
                  <c:v>299798</c:v>
                </c:pt>
                <c:pt idx="3">
                  <c:v>424250</c:v>
                </c:pt>
                <c:pt idx="4">
                  <c:v>558526</c:v>
                </c:pt>
                <c:pt idx="5">
                  <c:v>691334</c:v>
                </c:pt>
                <c:pt idx="6">
                  <c:v>813215</c:v>
                </c:pt>
                <c:pt idx="7">
                  <c:v>942812</c:v>
                </c:pt>
                <c:pt idx="8">
                  <c:v>1073647</c:v>
                </c:pt>
                <c:pt idx="9">
                  <c:v>1200917</c:v>
                </c:pt>
                <c:pt idx="10">
                  <c:v>1321814</c:v>
                </c:pt>
                <c:pt idx="11">
                  <c:v>1438156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C-4D2C-BA2F-A25B38E9619E}"/>
            </c:ext>
          </c:extLst>
        </c:ser>
        <c:ser>
          <c:idx val="2"/>
          <c:order val="2"/>
          <c:tx>
            <c:strRef>
              <c:f>'LUV-sales-countries-Cumul-World'!$B$20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'LUV-sales-countries-Cumul-World'!$C$20:$N$20</c:f>
              <c:numCache>
                <c:formatCode>_-* #,##0\ _F_-;\-* #,##0\ _F_-;_-* "-"??\ _F_-;_-@_-</c:formatCode>
                <c:ptCount val="12"/>
                <c:pt idx="0">
                  <c:v>97199</c:v>
                </c:pt>
                <c:pt idx="1">
                  <c:v>205899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C-4D2C-BA2F-A25B38E96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34432"/>
        <c:axId val="412840320"/>
      </c:lineChart>
      <c:catAx>
        <c:axId val="4128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840320"/>
        <c:crosses val="autoZero"/>
        <c:auto val="1"/>
        <c:lblAlgn val="ctr"/>
        <c:lblOffset val="100"/>
        <c:noMultiLvlLbl val="0"/>
      </c:catAx>
      <c:valAx>
        <c:axId val="4128403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834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9046741502"/>
          <c:w val="0.127317922027368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'LUV-sales-countries-Cumul-World'!$C$12:$N$12</c:f>
              <c:numCache>
                <c:formatCode>_-* #,##0\ _F_-;\-* #,##0\ _F_-;_-* "-"??\ _F_-;_-@_-</c:formatCode>
                <c:ptCount val="12"/>
                <c:pt idx="0">
                  <c:v>18259</c:v>
                </c:pt>
                <c:pt idx="1">
                  <c:v>39968</c:v>
                </c:pt>
                <c:pt idx="2">
                  <c:v>64162</c:v>
                </c:pt>
                <c:pt idx="3">
                  <c:v>83798</c:v>
                </c:pt>
                <c:pt idx="4">
                  <c:v>105326</c:v>
                </c:pt>
                <c:pt idx="5">
                  <c:v>129178</c:v>
                </c:pt>
                <c:pt idx="6">
                  <c:v>149242</c:v>
                </c:pt>
                <c:pt idx="7">
                  <c:v>171714</c:v>
                </c:pt>
                <c:pt idx="8">
                  <c:v>193966</c:v>
                </c:pt>
                <c:pt idx="9">
                  <c:v>215413</c:v>
                </c:pt>
                <c:pt idx="10">
                  <c:v>236837</c:v>
                </c:pt>
                <c:pt idx="11">
                  <c:v>256382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4-4E47-9C27-215852422F60}"/>
            </c:ext>
          </c:extLst>
        </c:ser>
        <c:ser>
          <c:idx val="1"/>
          <c:order val="1"/>
          <c:tx>
            <c:strRef>
              <c:f>'LUV-sales-countries-Cumul-World'!$B$13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'LUV-sales-countries-Cumul-World'!$C$13:$N$13</c:f>
              <c:numCache>
                <c:formatCode>_-* #,##0\ _F_-;\-* #,##0\ _F_-;_-* "-"??\ _F_-;_-@_-</c:formatCode>
                <c:ptCount val="12"/>
                <c:pt idx="0">
                  <c:v>18546</c:v>
                </c:pt>
                <c:pt idx="1">
                  <c:v>37296</c:v>
                </c:pt>
                <c:pt idx="2">
                  <c:v>59308</c:v>
                </c:pt>
                <c:pt idx="3">
                  <c:v>76368</c:v>
                </c:pt>
                <c:pt idx="4">
                  <c:v>100192</c:v>
                </c:pt>
                <c:pt idx="5">
                  <c:v>129025</c:v>
                </c:pt>
                <c:pt idx="6">
                  <c:v>148269</c:v>
                </c:pt>
                <c:pt idx="7">
                  <c:v>172300</c:v>
                </c:pt>
                <c:pt idx="8">
                  <c:v>196093</c:v>
                </c:pt>
                <c:pt idx="9">
                  <c:v>221774</c:v>
                </c:pt>
                <c:pt idx="10">
                  <c:v>248546</c:v>
                </c:pt>
                <c:pt idx="11">
                  <c:v>274185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11-476D-9613-00A7D2611DDB}"/>
            </c:ext>
          </c:extLst>
        </c:ser>
        <c:ser>
          <c:idx val="2"/>
          <c:order val="2"/>
          <c:tx>
            <c:strRef>
              <c:f>'LUV-sales-countries-Cumul-World'!$B$14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'LUV-sales-countries-Cumul-World'!$C$14:$N$14</c:f>
              <c:numCache>
                <c:formatCode>_-* #,##0\ _F_-;\-* #,##0\ _F_-;_-* "-"??\ _F_-;_-@_-</c:formatCode>
                <c:ptCount val="12"/>
                <c:pt idx="0">
                  <c:v>23518</c:v>
                </c:pt>
                <c:pt idx="1">
                  <c:v>51158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1-476D-9613-00A7D261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45024"/>
        <c:axId val="412959104"/>
      </c:lineChart>
      <c:catAx>
        <c:axId val="4129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959104"/>
        <c:crosses val="autoZero"/>
        <c:auto val="1"/>
        <c:lblAlgn val="ctr"/>
        <c:lblOffset val="100"/>
        <c:noMultiLvlLbl val="0"/>
      </c:catAx>
      <c:valAx>
        <c:axId val="41295910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945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2618417949178129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'LUV-sales-countries-Cumul-World'!$C$9:$N$9</c:f>
              <c:numCache>
                <c:formatCode>_-* #,##0\ _F_-;\-* #,##0\ _F_-;_-* "-"??\ _F_-;_-@_-</c:formatCode>
                <c:ptCount val="12"/>
                <c:pt idx="0">
                  <c:v>11817</c:v>
                </c:pt>
                <c:pt idx="1">
                  <c:v>20024</c:v>
                </c:pt>
                <c:pt idx="2">
                  <c:v>30480</c:v>
                </c:pt>
                <c:pt idx="3">
                  <c:v>39614</c:v>
                </c:pt>
                <c:pt idx="4">
                  <c:v>49813</c:v>
                </c:pt>
                <c:pt idx="5">
                  <c:v>58607</c:v>
                </c:pt>
                <c:pt idx="6">
                  <c:v>70010</c:v>
                </c:pt>
                <c:pt idx="7">
                  <c:v>80998</c:v>
                </c:pt>
                <c:pt idx="8">
                  <c:v>91495</c:v>
                </c:pt>
                <c:pt idx="9">
                  <c:v>100558</c:v>
                </c:pt>
                <c:pt idx="10">
                  <c:v>113357</c:v>
                </c:pt>
                <c:pt idx="11">
                  <c:v>120027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4-4E47-9C27-215852422F60}"/>
            </c:ext>
          </c:extLst>
        </c:ser>
        <c:ser>
          <c:idx val="1"/>
          <c:order val="1"/>
          <c:tx>
            <c:strRef>
              <c:f>'LUV-sales-countries-Cumul-World'!$B$10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'LUV-sales-countries-Cumul-World'!$C$10:$N$10</c:f>
              <c:numCache>
                <c:formatCode>_-* #,##0\ _F_-;\-* #,##0\ _F_-;_-* "-"??\ _F_-;_-@_-</c:formatCode>
                <c:ptCount val="12"/>
                <c:pt idx="0">
                  <c:v>12972</c:v>
                </c:pt>
                <c:pt idx="1">
                  <c:v>20642</c:v>
                </c:pt>
                <c:pt idx="2">
                  <c:v>29891</c:v>
                </c:pt>
                <c:pt idx="3">
                  <c:v>40828</c:v>
                </c:pt>
                <c:pt idx="4">
                  <c:v>54462</c:v>
                </c:pt>
                <c:pt idx="5">
                  <c:v>67149</c:v>
                </c:pt>
                <c:pt idx="6">
                  <c:v>80948</c:v>
                </c:pt>
                <c:pt idx="7">
                  <c:v>94381</c:v>
                </c:pt>
                <c:pt idx="8">
                  <c:v>107507</c:v>
                </c:pt>
                <c:pt idx="9">
                  <c:v>121719</c:v>
                </c:pt>
                <c:pt idx="10">
                  <c:v>134253</c:v>
                </c:pt>
                <c:pt idx="11">
                  <c:v>142518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4-4E47-9C27-215852422F60}"/>
            </c:ext>
          </c:extLst>
        </c:ser>
        <c:ser>
          <c:idx val="2"/>
          <c:order val="2"/>
          <c:tx>
            <c:strRef>
              <c:f>'LUV-sales-countries-Cumul-World'!$B$11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'LUV-sales-countries-Cumul-World'!$C$11:$N$11</c:f>
              <c:numCache>
                <c:formatCode>_-* #,##0\ _F_-;\-* #,##0\ _F_-;_-* "-"??\ _F_-;_-@_-</c:formatCode>
                <c:ptCount val="12"/>
                <c:pt idx="0">
                  <c:v>11101</c:v>
                </c:pt>
                <c:pt idx="1">
                  <c:v>18174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4-4E47-9C27-21585242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90080"/>
        <c:axId val="413000064"/>
      </c:lineChart>
      <c:catAx>
        <c:axId val="4129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000064"/>
        <c:crosses val="autoZero"/>
        <c:auto val="1"/>
        <c:lblAlgn val="ctr"/>
        <c:lblOffset val="100"/>
        <c:noMultiLvlLbl val="0"/>
      </c:catAx>
      <c:valAx>
        <c:axId val="41300006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99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5598800788742972"/>
          <c:h val="0.239351929413078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'PC-sales-countries-World-123'!$B$55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'PC-sales-countries-World-123'!$C$55:$N$55</c:f>
              <c:numCache>
                <c:formatCode>_-* #,##0\ _F_-;\-* #,##0\ _F_-;_-* "-"??\ _F_-;_-@_-</c:formatCode>
                <c:ptCount val="12"/>
                <c:pt idx="0">
                  <c:v>25093</c:v>
                </c:pt>
                <c:pt idx="1">
                  <c:v>11965</c:v>
                </c:pt>
                <c:pt idx="2">
                  <c:v>12870</c:v>
                </c:pt>
                <c:pt idx="3">
                  <c:v>7837</c:v>
                </c:pt>
                <c:pt idx="4">
                  <c:v>5280</c:v>
                </c:pt>
                <c:pt idx="5">
                  <c:v>2131</c:v>
                </c:pt>
                <c:pt idx="6">
                  <c:v>21899</c:v>
                </c:pt>
                <c:pt idx="7">
                  <c:v>8108</c:v>
                </c:pt>
                <c:pt idx="8">
                  <c:v>6309</c:v>
                </c:pt>
                <c:pt idx="9">
                  <c:v>2564</c:v>
                </c:pt>
                <c:pt idx="10">
                  <c:v>983</c:v>
                </c:pt>
                <c:pt idx="11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9-42DB-8F24-1E3369E4D287}"/>
            </c:ext>
          </c:extLst>
        </c:ser>
        <c:ser>
          <c:idx val="1"/>
          <c:order val="1"/>
          <c:tx>
            <c:strRef>
              <c:f>'PC-sales-countries-World-123'!$B$56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'PC-sales-countries-World-123'!$C$56:$N$56</c:f>
              <c:numCache>
                <c:formatCode>_-* #,##0\ _F_-;\-* #,##0\ _F_-;_-* "-"??\ _F_-;_-@_-</c:formatCode>
                <c:ptCount val="12"/>
                <c:pt idx="0">
                  <c:v>27363</c:v>
                </c:pt>
                <c:pt idx="1">
                  <c:v>13072</c:v>
                </c:pt>
                <c:pt idx="2">
                  <c:v>17681</c:v>
                </c:pt>
                <c:pt idx="3">
                  <c:v>8902</c:v>
                </c:pt>
                <c:pt idx="4">
                  <c:v>7524</c:v>
                </c:pt>
                <c:pt idx="5">
                  <c:v>3145</c:v>
                </c:pt>
                <c:pt idx="6">
                  <c:v>26954</c:v>
                </c:pt>
                <c:pt idx="7">
                  <c:v>8088</c:v>
                </c:pt>
                <c:pt idx="8">
                  <c:v>5625</c:v>
                </c:pt>
                <c:pt idx="9">
                  <c:v>2137</c:v>
                </c:pt>
                <c:pt idx="10">
                  <c:v>1933</c:v>
                </c:pt>
                <c:pt idx="11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6-41B6-825C-147B88C391F1}"/>
            </c:ext>
          </c:extLst>
        </c:ser>
        <c:ser>
          <c:idx val="2"/>
          <c:order val="2"/>
          <c:tx>
            <c:strRef>
              <c:f>'PC-sales-countries-World-123'!$B$57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'PC-sales-countries-World-123'!$C$57:$N$57</c:f>
              <c:numCache>
                <c:formatCode>_-* #,##0\ _F_-;\-* #,##0\ _F_-;_-* "-"??\ _F_-;_-@_-</c:formatCode>
                <c:ptCount val="12"/>
                <c:pt idx="0">
                  <c:v>31425</c:v>
                </c:pt>
                <c:pt idx="1">
                  <c:v>16452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6-41B6-825C-147B88C39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24288"/>
        <c:axId val="71635712"/>
      </c:lineChart>
      <c:catAx>
        <c:axId val="6132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635712"/>
        <c:crosses val="autoZero"/>
        <c:auto val="1"/>
        <c:lblAlgn val="ctr"/>
        <c:lblOffset val="100"/>
        <c:noMultiLvlLbl val="0"/>
      </c:catAx>
      <c:valAx>
        <c:axId val="7163571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324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2381002113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'PC-sales-countries-World-123'!$B$52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'PC-sales-countries-World-123'!$C$52:$N$52</c:f>
              <c:numCache>
                <c:formatCode>_-* #,##0\ _F_-;\-* #,##0\ _F_-;_-* "-"??\ _F_-;_-@_-</c:formatCode>
                <c:ptCount val="12"/>
                <c:pt idx="0">
                  <c:v>254287</c:v>
                </c:pt>
                <c:pt idx="1">
                  <c:v>262984</c:v>
                </c:pt>
                <c:pt idx="2">
                  <c:v>279501</c:v>
                </c:pt>
                <c:pt idx="3">
                  <c:v>251581</c:v>
                </c:pt>
                <c:pt idx="4">
                  <c:v>251052</c:v>
                </c:pt>
                <c:pt idx="5">
                  <c:v>322534</c:v>
                </c:pt>
                <c:pt idx="6">
                  <c:v>293865</c:v>
                </c:pt>
                <c:pt idx="7">
                  <c:v>281210</c:v>
                </c:pt>
                <c:pt idx="8">
                  <c:v>307389</c:v>
                </c:pt>
                <c:pt idx="9">
                  <c:v>291113</c:v>
                </c:pt>
                <c:pt idx="10">
                  <c:v>276231</c:v>
                </c:pt>
                <c:pt idx="11">
                  <c:v>274095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B-4303-93CF-0A4F715970D0}"/>
            </c:ext>
          </c:extLst>
        </c:ser>
        <c:ser>
          <c:idx val="1"/>
          <c:order val="1"/>
          <c:tx>
            <c:strRef>
              <c:f>'PC-sales-countries-World-123'!$B$53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'PC-sales-countries-World-123'!$C$53:$N$53</c:f>
              <c:numCache>
                <c:formatCode>_-* #,##0\ _F_-;\-* #,##0\ _F_-;_-* "-"??\ _F_-;_-@_-</c:formatCode>
                <c:ptCount val="12"/>
                <c:pt idx="0">
                  <c:v>298093</c:v>
                </c:pt>
                <c:pt idx="1">
                  <c:v>291928</c:v>
                </c:pt>
                <c:pt idx="2">
                  <c:v>337158</c:v>
                </c:pt>
                <c:pt idx="3">
                  <c:v>284371</c:v>
                </c:pt>
                <c:pt idx="4">
                  <c:v>288369</c:v>
                </c:pt>
                <c:pt idx="5">
                  <c:v>327265</c:v>
                </c:pt>
                <c:pt idx="6">
                  <c:v>302521</c:v>
                </c:pt>
                <c:pt idx="7">
                  <c:v>313715</c:v>
                </c:pt>
                <c:pt idx="8">
                  <c:v>364809</c:v>
                </c:pt>
                <c:pt idx="9">
                  <c:v>341347</c:v>
                </c:pt>
                <c:pt idx="10">
                  <c:v>288062</c:v>
                </c:pt>
                <c:pt idx="11">
                  <c:v>281968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E-4696-93E1-DE845DAB3AB1}"/>
            </c:ext>
          </c:extLst>
        </c:ser>
        <c:ser>
          <c:idx val="2"/>
          <c:order val="2"/>
          <c:tx>
            <c:strRef>
              <c:f>'PC-sales-countries-World-123'!$B$54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'PC-sales-countries-World-123'!$C$54:$N$54</c:f>
              <c:numCache>
                <c:formatCode>_-* #,##0\ _F_-;\-* #,##0\ _F_-;_-* "-"??\ _F_-;_-@_-</c:formatCode>
                <c:ptCount val="12"/>
                <c:pt idx="0">
                  <c:v>339441</c:v>
                </c:pt>
                <c:pt idx="1">
                  <c:v>319519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E-4696-93E1-DE845DAB3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22304"/>
        <c:axId val="87528192"/>
      </c:lineChart>
      <c:catAx>
        <c:axId val="875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28192"/>
        <c:crosses val="autoZero"/>
        <c:auto val="1"/>
        <c:lblAlgn val="ctr"/>
        <c:lblOffset val="100"/>
        <c:noMultiLvlLbl val="0"/>
      </c:catAx>
      <c:valAx>
        <c:axId val="8752819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2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46602025986416"/>
          <c:y val="0.38034002381002113"/>
          <c:w val="0.1219110378912685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'PC-sales-countries-World-123'!$B$58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'PC-sales-countries-World-123'!$C$58:$N$58</c:f>
              <c:numCache>
                <c:formatCode>_-* #,##0\ _F_-;\-* #,##0\ _F_-;_-* "-"??\ _F_-;_-@_-</c:formatCode>
                <c:ptCount val="12"/>
                <c:pt idx="0">
                  <c:v>107814</c:v>
                </c:pt>
                <c:pt idx="1">
                  <c:v>110902</c:v>
                </c:pt>
                <c:pt idx="2">
                  <c:v>119542</c:v>
                </c:pt>
                <c:pt idx="3">
                  <c:v>97389</c:v>
                </c:pt>
                <c:pt idx="4">
                  <c:v>121327</c:v>
                </c:pt>
                <c:pt idx="5">
                  <c:v>127254</c:v>
                </c:pt>
                <c:pt idx="6">
                  <c:v>109628</c:v>
                </c:pt>
                <c:pt idx="7">
                  <c:v>71188</c:v>
                </c:pt>
                <c:pt idx="8">
                  <c:v>111011</c:v>
                </c:pt>
                <c:pt idx="9">
                  <c:v>115839</c:v>
                </c:pt>
                <c:pt idx="10">
                  <c:v>119875</c:v>
                </c:pt>
                <c:pt idx="11">
                  <c:v>104915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2-46E1-9D8A-CE8A93308978}"/>
            </c:ext>
          </c:extLst>
        </c:ser>
        <c:ser>
          <c:idx val="1"/>
          <c:order val="1"/>
          <c:tx>
            <c:strRef>
              <c:f>'PC-sales-countries-World-123'!$B$59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'PC-sales-countries-World-123'!$C$59:$N$59</c:f>
              <c:numCache>
                <c:formatCode>_-* #,##0\ _F_-;\-* #,##0\ _F_-;_-* "-"??\ _F_-;_-@_-</c:formatCode>
                <c:ptCount val="12"/>
                <c:pt idx="0">
                  <c:v>128437</c:v>
                </c:pt>
                <c:pt idx="1">
                  <c:v>130287</c:v>
                </c:pt>
                <c:pt idx="2">
                  <c:v>168343</c:v>
                </c:pt>
                <c:pt idx="3">
                  <c:v>125783</c:v>
                </c:pt>
                <c:pt idx="4">
                  <c:v>149489</c:v>
                </c:pt>
                <c:pt idx="5">
                  <c:v>138411</c:v>
                </c:pt>
                <c:pt idx="6">
                  <c:v>120015</c:v>
                </c:pt>
                <c:pt idx="7">
                  <c:v>79795</c:v>
                </c:pt>
                <c:pt idx="8">
                  <c:v>135443</c:v>
                </c:pt>
                <c:pt idx="9">
                  <c:v>139030</c:v>
                </c:pt>
                <c:pt idx="10">
                  <c:v>139228</c:v>
                </c:pt>
                <c:pt idx="11">
                  <c:v>112187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8-4ECE-AA96-48001A4D06A3}"/>
            </c:ext>
          </c:extLst>
        </c:ser>
        <c:ser>
          <c:idx val="2"/>
          <c:order val="2"/>
          <c:tx>
            <c:strRef>
              <c:f>'PC-sales-countries-World-123'!$B$60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'PC-sales-countries-World-123'!$C$60:$N$60</c:f>
              <c:numCache>
                <c:formatCode>_-* #,##0\ _F_-;\-* #,##0\ _F_-;_-* "-"??\ _F_-;_-@_-</c:formatCode>
                <c:ptCount val="12"/>
                <c:pt idx="0">
                  <c:v>141893</c:v>
                </c:pt>
                <c:pt idx="1">
                  <c:v>147055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8-4ECE-AA96-48001A4D0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98432"/>
        <c:axId val="87728896"/>
      </c:lineChart>
      <c:catAx>
        <c:axId val="876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28896"/>
        <c:crosses val="autoZero"/>
        <c:auto val="1"/>
        <c:lblAlgn val="ctr"/>
        <c:lblOffset val="100"/>
        <c:noMultiLvlLbl val="0"/>
      </c:catAx>
      <c:valAx>
        <c:axId val="8772889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69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2381002113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'PC-sales-countries-World-123'!$B$61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'PC-sales-countries-World-123'!$C$61:$N$61</c:f>
              <c:numCache>
                <c:formatCode>_-* #,##0\ _F_-;\-* #,##0\ _F_-;_-* "-"??\ _F_-;_-@_-</c:formatCode>
                <c:ptCount val="12"/>
                <c:pt idx="0">
                  <c:v>272445</c:v>
                </c:pt>
                <c:pt idx="1">
                  <c:v>289848</c:v>
                </c:pt>
                <c:pt idx="2">
                  <c:v>426393</c:v>
                </c:pt>
                <c:pt idx="3">
                  <c:v>244292</c:v>
                </c:pt>
                <c:pt idx="4">
                  <c:v>211856</c:v>
                </c:pt>
                <c:pt idx="5">
                  <c:v>268077</c:v>
                </c:pt>
                <c:pt idx="6">
                  <c:v>288145</c:v>
                </c:pt>
                <c:pt idx="7">
                  <c:v>234143</c:v>
                </c:pt>
                <c:pt idx="8">
                  <c:v>324901</c:v>
                </c:pt>
                <c:pt idx="9">
                  <c:v>295809</c:v>
                </c:pt>
                <c:pt idx="10">
                  <c:v>308059</c:v>
                </c:pt>
                <c:pt idx="11">
                  <c:v>284330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6-4E7D-B930-4B5763689ECA}"/>
            </c:ext>
          </c:extLst>
        </c:ser>
        <c:ser>
          <c:idx val="1"/>
          <c:order val="1"/>
          <c:tx>
            <c:strRef>
              <c:f>'PC-sales-countries-World-123'!$B$62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'PC-sales-countries-World-123'!$C$62:$N$62</c:f>
              <c:numCache>
                <c:formatCode>_-* #,##0\ _F_-;\-* #,##0\ _F_-;_-* "-"??\ _F_-;_-@_-</c:formatCode>
                <c:ptCount val="12"/>
                <c:pt idx="0">
                  <c:v>319870</c:v>
                </c:pt>
                <c:pt idx="1">
                  <c:v>356281</c:v>
                </c:pt>
                <c:pt idx="2">
                  <c:v>477943</c:v>
                </c:pt>
                <c:pt idx="3">
                  <c:v>289525</c:v>
                </c:pt>
                <c:pt idx="4">
                  <c:v>272042</c:v>
                </c:pt>
                <c:pt idx="5">
                  <c:v>332033</c:v>
                </c:pt>
                <c:pt idx="6">
                  <c:v>320997</c:v>
                </c:pt>
                <c:pt idx="7">
                  <c:v>280537</c:v>
                </c:pt>
                <c:pt idx="8">
                  <c:v>363399</c:v>
                </c:pt>
                <c:pt idx="9">
                  <c:v>334485</c:v>
                </c:pt>
                <c:pt idx="10">
                  <c:v>344045</c:v>
                </c:pt>
                <c:pt idx="11">
                  <c:v>301571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2-48D7-8357-092354727968}"/>
            </c:ext>
          </c:extLst>
        </c:ser>
        <c:ser>
          <c:idx val="2"/>
          <c:order val="2"/>
          <c:tx>
            <c:strRef>
              <c:f>'PC-sales-countries-World-123'!$B$63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'PC-sales-countries-World-123'!$C$63:$N$63</c:f>
              <c:numCache>
                <c:formatCode>_-* #,##0\ _F_-;\-* #,##0\ _F_-;_-* "-"??\ _F_-;_-@_-</c:formatCode>
                <c:ptCount val="12"/>
                <c:pt idx="0">
                  <c:v>285429</c:v>
                </c:pt>
                <c:pt idx="1">
                  <c:v>298495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2-48D7-8357-092354727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2752"/>
        <c:axId val="95568640"/>
      </c:lineChart>
      <c:catAx>
        <c:axId val="95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68640"/>
        <c:crosses val="autoZero"/>
        <c:auto val="1"/>
        <c:lblAlgn val="ctr"/>
        <c:lblOffset val="100"/>
        <c:noMultiLvlLbl val="0"/>
      </c:catAx>
      <c:valAx>
        <c:axId val="9556864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6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80796867604668"/>
          <c:y val="0.38034002381002113"/>
          <c:w val="0.1211129296235679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'PC-sales-countries-World-123'!$B$64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'PC-sales-countries-World-123'!$C$64:$N$64</c:f>
              <c:numCache>
                <c:formatCode>_-* #,##0\ _F_-;\-* #,##0\ _F_-;_-* "-"??\ _F_-;_-@_-</c:formatCode>
                <c:ptCount val="12"/>
                <c:pt idx="0">
                  <c:v>92539</c:v>
                </c:pt>
                <c:pt idx="1">
                  <c:v>100842</c:v>
                </c:pt>
                <c:pt idx="2">
                  <c:v>118653</c:v>
                </c:pt>
                <c:pt idx="3">
                  <c:v>120897</c:v>
                </c:pt>
                <c:pt idx="4">
                  <c:v>119807</c:v>
                </c:pt>
                <c:pt idx="5">
                  <c:v>123768</c:v>
                </c:pt>
                <c:pt idx="6">
                  <c:v>118808</c:v>
                </c:pt>
                <c:pt idx="7">
                  <c:v>106809</c:v>
                </c:pt>
                <c:pt idx="8">
                  <c:v>114731</c:v>
                </c:pt>
                <c:pt idx="9">
                  <c:v>119822</c:v>
                </c:pt>
                <c:pt idx="10">
                  <c:v>133208</c:v>
                </c:pt>
                <c:pt idx="11">
                  <c:v>139669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8-43EC-86E7-46BC4516A506}"/>
            </c:ext>
          </c:extLst>
        </c:ser>
        <c:ser>
          <c:idx val="1"/>
          <c:order val="1"/>
          <c:tx>
            <c:strRef>
              <c:f>'PC-sales-countries-World-123'!$B$65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'PC-sales-countries-World-123'!$C$65:$N$65</c:f>
              <c:numCache>
                <c:formatCode>_-* #,##0\ _F_-;\-* #,##0\ _F_-;_-* "-"??\ _F_-;_-@_-</c:formatCode>
                <c:ptCount val="12"/>
                <c:pt idx="0">
                  <c:v>101134</c:v>
                </c:pt>
                <c:pt idx="1">
                  <c:v>120143</c:v>
                </c:pt>
                <c:pt idx="2">
                  <c:v>138508</c:v>
                </c:pt>
                <c:pt idx="3">
                  <c:v>127253</c:v>
                </c:pt>
                <c:pt idx="4">
                  <c:v>130141</c:v>
                </c:pt>
                <c:pt idx="5">
                  <c:v>139534</c:v>
                </c:pt>
                <c:pt idx="6">
                  <c:v>113875</c:v>
                </c:pt>
                <c:pt idx="7">
                  <c:v>112723</c:v>
                </c:pt>
                <c:pt idx="8">
                  <c:v>111705</c:v>
                </c:pt>
                <c:pt idx="9">
                  <c:v>116884</c:v>
                </c:pt>
                <c:pt idx="10">
                  <c:v>133986</c:v>
                </c:pt>
                <c:pt idx="11">
                  <c:v>124638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C-4873-ABC7-B36320785BE2}"/>
            </c:ext>
          </c:extLst>
        </c:ser>
        <c:ser>
          <c:idx val="2"/>
          <c:order val="2"/>
          <c:tx>
            <c:strRef>
              <c:f>'PC-sales-countries-World-123'!$B$66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'PC-sales-countries-World-123'!$C$66:$N$66</c:f>
              <c:numCache>
                <c:formatCode>_-* #,##0\ _F_-;\-* #,##0\ _F_-;_-* "-"??\ _F_-;_-@_-</c:formatCode>
                <c:ptCount val="12"/>
                <c:pt idx="0">
                  <c:v>101696</c:v>
                </c:pt>
                <c:pt idx="1">
                  <c:v>100082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C-4873-ABC7-B36320785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3232"/>
        <c:axId val="95597312"/>
      </c:lineChart>
      <c:catAx>
        <c:axId val="955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97312"/>
        <c:crosses val="autoZero"/>
        <c:auto val="1"/>
        <c:lblAlgn val="ctr"/>
        <c:lblOffset val="100"/>
        <c:noMultiLvlLbl val="0"/>
      </c:catAx>
      <c:valAx>
        <c:axId val="9559731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58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236561610170083"/>
          <c:w val="0.12596934942420426"/>
          <c:h val="0.1929486807609216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'PC-sales-countries-World-123'!$B$67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'PC-sales-countries-World-123'!$C$67:$N$67</c:f>
              <c:numCache>
                <c:formatCode>_-* #,##0\ _F_-;\-* #,##0\ _F_-;_-* "-"??\ _F_-;_-@_-</c:formatCode>
                <c:ptCount val="12"/>
                <c:pt idx="0">
                  <c:v>37277</c:v>
                </c:pt>
                <c:pt idx="1">
                  <c:v>36856</c:v>
                </c:pt>
                <c:pt idx="2">
                  <c:v>43743</c:v>
                </c:pt>
                <c:pt idx="3">
                  <c:v>40522</c:v>
                </c:pt>
                <c:pt idx="4">
                  <c:v>43359</c:v>
                </c:pt>
                <c:pt idx="5">
                  <c:v>41391</c:v>
                </c:pt>
                <c:pt idx="6">
                  <c:v>36252</c:v>
                </c:pt>
                <c:pt idx="7">
                  <c:v>41435</c:v>
                </c:pt>
                <c:pt idx="8">
                  <c:v>37959</c:v>
                </c:pt>
                <c:pt idx="9">
                  <c:v>36951</c:v>
                </c:pt>
                <c:pt idx="10">
                  <c:v>40597</c:v>
                </c:pt>
                <c:pt idx="11">
                  <c:v>50651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AA-4519-83EA-131B133F6384}"/>
            </c:ext>
          </c:extLst>
        </c:ser>
        <c:ser>
          <c:idx val="1"/>
          <c:order val="1"/>
          <c:tx>
            <c:strRef>
              <c:f>'PC-sales-countries-World-123'!$B$68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'PC-sales-countries-World-123'!$C$68:$N$68</c:f>
              <c:numCache>
                <c:formatCode>_-* #,##0\ _F_-;\-* #,##0\ _F_-;_-* "-"??\ _F_-;_-@_-</c:formatCode>
                <c:ptCount val="12"/>
                <c:pt idx="0">
                  <c:v>40728</c:v>
                </c:pt>
                <c:pt idx="1">
                  <c:v>48292</c:v>
                </c:pt>
                <c:pt idx="2">
                  <c:v>55141</c:v>
                </c:pt>
                <c:pt idx="3">
                  <c:v>39889</c:v>
                </c:pt>
                <c:pt idx="4">
                  <c:v>46474</c:v>
                </c:pt>
                <c:pt idx="5">
                  <c:v>48891</c:v>
                </c:pt>
                <c:pt idx="6">
                  <c:v>47622</c:v>
                </c:pt>
                <c:pt idx="7">
                  <c:v>50769</c:v>
                </c:pt>
                <c:pt idx="8">
                  <c:v>50469</c:v>
                </c:pt>
                <c:pt idx="9">
                  <c:v>48855</c:v>
                </c:pt>
                <c:pt idx="10">
                  <c:v>57821</c:v>
                </c:pt>
                <c:pt idx="11">
                  <c:v>63140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5-49D8-92C3-EE086DF4CD22}"/>
            </c:ext>
          </c:extLst>
        </c:ser>
        <c:ser>
          <c:idx val="2"/>
          <c:order val="2"/>
          <c:tx>
            <c:strRef>
              <c:f>'PC-sales-countries-World-123'!$B$69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'PC-sales-countries-World-123'!$C$69:$N$69</c:f>
              <c:numCache>
                <c:formatCode>_-* #,##0\ _F_-;\-* #,##0\ _F_-;_-* "-"??\ _F_-;_-@_-</c:formatCode>
                <c:ptCount val="12"/>
                <c:pt idx="0">
                  <c:v>47976</c:v>
                </c:pt>
                <c:pt idx="1">
                  <c:v>48095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5-49D8-92C3-EE086DF4C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960"/>
        <c:axId val="95666944"/>
      </c:lineChart>
      <c:catAx>
        <c:axId val="956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66944"/>
        <c:crosses val="autoZero"/>
        <c:auto val="1"/>
        <c:lblAlgn val="ctr"/>
        <c:lblOffset val="100"/>
        <c:noMultiLvlLbl val="0"/>
      </c:catAx>
      <c:valAx>
        <c:axId val="9566694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5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9046741502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'PC-sales-countries-World-123'!$B$70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'PC-sales-countries-World-123'!$C$70:$N$70</c:f>
              <c:numCache>
                <c:formatCode>_-* #,##0\ _F_-;\-* #,##0\ _F_-;_-* "-"??\ _F_-;_-@_-</c:formatCode>
                <c:ptCount val="12"/>
                <c:pt idx="0">
                  <c:v>30984</c:v>
                </c:pt>
                <c:pt idx="1">
                  <c:v>22740</c:v>
                </c:pt>
                <c:pt idx="2">
                  <c:v>24815</c:v>
                </c:pt>
                <c:pt idx="3">
                  <c:v>21918</c:v>
                </c:pt>
                <c:pt idx="4">
                  <c:v>23354</c:v>
                </c:pt>
                <c:pt idx="5">
                  <c:v>29897</c:v>
                </c:pt>
                <c:pt idx="6">
                  <c:v>22067</c:v>
                </c:pt>
                <c:pt idx="7">
                  <c:v>23522</c:v>
                </c:pt>
                <c:pt idx="8">
                  <c:v>25647</c:v>
                </c:pt>
                <c:pt idx="9">
                  <c:v>28820</c:v>
                </c:pt>
                <c:pt idx="10">
                  <c:v>27819</c:v>
                </c:pt>
                <c:pt idx="11">
                  <c:v>30900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8-4EE1-8B75-45FDC0297DDB}"/>
            </c:ext>
          </c:extLst>
        </c:ser>
        <c:ser>
          <c:idx val="1"/>
          <c:order val="1"/>
          <c:tx>
            <c:strRef>
              <c:f>'PC-sales-countries-World-123'!$B$71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'PC-sales-countries-World-123'!$C$71:$N$71</c:f>
              <c:numCache>
                <c:formatCode>_-* #,##0\ _F_-;\-* #,##0\ _F_-;_-* "-"??\ _F_-;_-@_-</c:formatCode>
                <c:ptCount val="12"/>
                <c:pt idx="0">
                  <c:v>32845</c:v>
                </c:pt>
                <c:pt idx="1">
                  <c:v>28128</c:v>
                </c:pt>
                <c:pt idx="2">
                  <c:v>37452</c:v>
                </c:pt>
                <c:pt idx="3">
                  <c:v>29172</c:v>
                </c:pt>
                <c:pt idx="4">
                  <c:v>33020</c:v>
                </c:pt>
                <c:pt idx="5">
                  <c:v>41978</c:v>
                </c:pt>
                <c:pt idx="6">
                  <c:v>26837</c:v>
                </c:pt>
                <c:pt idx="7">
                  <c:v>27627</c:v>
                </c:pt>
                <c:pt idx="8">
                  <c:v>29902</c:v>
                </c:pt>
                <c:pt idx="9">
                  <c:v>28052</c:v>
                </c:pt>
                <c:pt idx="10">
                  <c:v>28208</c:v>
                </c:pt>
                <c:pt idx="11">
                  <c:v>26570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B-46A1-A2D7-D6C27D7BAF40}"/>
            </c:ext>
          </c:extLst>
        </c:ser>
        <c:ser>
          <c:idx val="2"/>
          <c:order val="2"/>
          <c:tx>
            <c:strRef>
              <c:f>'PC-sales-countries-World-123'!$B$72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'PC-sales-countries-World-123'!$C$72:$N$72</c:f>
              <c:numCache>
                <c:formatCode>_-* #,##0\ _F_-;\-* #,##0\ _F_-;_-* "-"??\ _F_-;_-@_-</c:formatCode>
                <c:ptCount val="12"/>
                <c:pt idx="0">
                  <c:v>34777</c:v>
                </c:pt>
                <c:pt idx="1">
                  <c:v>30033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B-46A1-A2D7-D6C27D7BA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2384"/>
        <c:axId val="108438272"/>
      </c:lineChart>
      <c:catAx>
        <c:axId val="1084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38272"/>
        <c:crosses val="autoZero"/>
        <c:auto val="1"/>
        <c:lblAlgn val="ctr"/>
        <c:lblOffset val="100"/>
        <c:noMultiLvlLbl val="0"/>
      </c:catAx>
      <c:valAx>
        <c:axId val="10843827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3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034009046741502"/>
          <c:w val="0.121311475409836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'PC-sales-countries-World-123'!$B$73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'PC-sales-countries-World-123'!$C$73:$N$73</c:f>
              <c:numCache>
                <c:formatCode>_-* #,##0\ _F_-;\-* #,##0\ _F_-;_-* "-"??\ _F_-;_-@_-</c:formatCode>
                <c:ptCount val="12"/>
                <c:pt idx="0">
                  <c:v>28975</c:v>
                </c:pt>
                <c:pt idx="1">
                  <c:v>33538</c:v>
                </c:pt>
                <c:pt idx="2">
                  <c:v>39528</c:v>
                </c:pt>
                <c:pt idx="3">
                  <c:v>34882</c:v>
                </c:pt>
                <c:pt idx="4">
                  <c:v>35897</c:v>
                </c:pt>
                <c:pt idx="5">
                  <c:v>39597</c:v>
                </c:pt>
                <c:pt idx="6">
                  <c:v>34702</c:v>
                </c:pt>
                <c:pt idx="7">
                  <c:v>33758</c:v>
                </c:pt>
                <c:pt idx="8">
                  <c:v>35803</c:v>
                </c:pt>
                <c:pt idx="9">
                  <c:v>32001</c:v>
                </c:pt>
                <c:pt idx="10">
                  <c:v>34196</c:v>
                </c:pt>
                <c:pt idx="11">
                  <c:v>36872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9-4102-9744-61DE8ECB179A}"/>
            </c:ext>
          </c:extLst>
        </c:ser>
        <c:ser>
          <c:idx val="1"/>
          <c:order val="1"/>
          <c:tx>
            <c:strRef>
              <c:f>'PC-sales-countries-World-123'!$B$74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'PC-sales-countries-World-123'!$C$74:$N$74</c:f>
              <c:numCache>
                <c:formatCode>_-* #,##0\ _F_-;\-* #,##0\ _F_-;_-* "-"??\ _F_-;_-@_-</c:formatCode>
                <c:ptCount val="12"/>
                <c:pt idx="0">
                  <c:v>35047</c:v>
                </c:pt>
                <c:pt idx="1">
                  <c:v>38524</c:v>
                </c:pt>
                <c:pt idx="2">
                  <c:v>49461</c:v>
                </c:pt>
                <c:pt idx="3">
                  <c:v>35484</c:v>
                </c:pt>
                <c:pt idx="4">
                  <c:v>38576</c:v>
                </c:pt>
                <c:pt idx="5">
                  <c:v>41581</c:v>
                </c:pt>
                <c:pt idx="6">
                  <c:v>36388</c:v>
                </c:pt>
                <c:pt idx="7">
                  <c:v>36178</c:v>
                </c:pt>
                <c:pt idx="8">
                  <c:v>39078</c:v>
                </c:pt>
                <c:pt idx="9">
                  <c:v>40914</c:v>
                </c:pt>
                <c:pt idx="10">
                  <c:v>41686</c:v>
                </c:pt>
                <c:pt idx="11">
                  <c:v>42117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B-4789-B3B0-54437EA0FDD2}"/>
            </c:ext>
          </c:extLst>
        </c:ser>
        <c:ser>
          <c:idx val="2"/>
          <c:order val="2"/>
          <c:tx>
            <c:strRef>
              <c:f>'PC-sales-countries-World-123'!$B$75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'PC-sales-countries-World-123'!$C$75:$N$75</c:f>
              <c:numCache>
                <c:formatCode>_-* #,##0\ _F_-;\-* #,##0\ _F_-;_-* "-"??\ _F_-;_-@_-</c:formatCode>
                <c:ptCount val="12"/>
                <c:pt idx="0">
                  <c:v>42789</c:v>
                </c:pt>
                <c:pt idx="1">
                  <c:v>45978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B-4789-B3B0-54437EA0F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7856"/>
        <c:axId val="114381568"/>
      </c:lineChart>
      <c:catAx>
        <c:axId val="1142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81568"/>
        <c:crosses val="autoZero"/>
        <c:auto val="1"/>
        <c:lblAlgn val="ctr"/>
        <c:lblOffset val="100"/>
        <c:noMultiLvlLbl val="0"/>
      </c:catAx>
      <c:valAx>
        <c:axId val="11438156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29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2381002113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'PC-sales-countries-World-123'!$B$76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'PC-sales-countries-World-123'!$C$76:$N$76</c:f>
              <c:numCache>
                <c:formatCode>_-* #,##0\ _F_-;\-* #,##0\ _F_-;_-* "-"??\ _F_-;_-@_-</c:formatCode>
                <c:ptCount val="12"/>
                <c:pt idx="0">
                  <c:v>9829</c:v>
                </c:pt>
                <c:pt idx="1">
                  <c:v>11571</c:v>
                </c:pt>
                <c:pt idx="2">
                  <c:v>13371</c:v>
                </c:pt>
                <c:pt idx="3">
                  <c:v>12420</c:v>
                </c:pt>
                <c:pt idx="4">
                  <c:v>12748</c:v>
                </c:pt>
                <c:pt idx="5">
                  <c:v>15510</c:v>
                </c:pt>
                <c:pt idx="6">
                  <c:v>14495</c:v>
                </c:pt>
                <c:pt idx="7">
                  <c:v>11349</c:v>
                </c:pt>
                <c:pt idx="8">
                  <c:v>12471</c:v>
                </c:pt>
                <c:pt idx="9">
                  <c:v>12558</c:v>
                </c:pt>
                <c:pt idx="10">
                  <c:v>15234</c:v>
                </c:pt>
                <c:pt idx="11">
                  <c:v>14752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A-4100-AA6D-1237A0808C27}"/>
            </c:ext>
          </c:extLst>
        </c:ser>
        <c:ser>
          <c:idx val="1"/>
          <c:order val="1"/>
          <c:tx>
            <c:strRef>
              <c:f>'PC-sales-countries-World-123'!$B$77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'PC-sales-countries-World-123'!$C$77:$N$77</c:f>
              <c:numCache>
                <c:formatCode>_-* #,##0\ _F_-;\-* #,##0\ _F_-;_-* "-"??\ _F_-;_-@_-</c:formatCode>
                <c:ptCount val="12"/>
                <c:pt idx="0">
                  <c:v>14639</c:v>
                </c:pt>
                <c:pt idx="1">
                  <c:v>16080</c:v>
                </c:pt>
                <c:pt idx="2">
                  <c:v>21472</c:v>
                </c:pt>
                <c:pt idx="3">
                  <c:v>16107</c:v>
                </c:pt>
                <c:pt idx="4">
                  <c:v>19816</c:v>
                </c:pt>
                <c:pt idx="5">
                  <c:v>22041</c:v>
                </c:pt>
                <c:pt idx="6">
                  <c:v>16074</c:v>
                </c:pt>
                <c:pt idx="7">
                  <c:v>13050</c:v>
                </c:pt>
                <c:pt idx="8">
                  <c:v>14077</c:v>
                </c:pt>
                <c:pt idx="9">
                  <c:v>13863</c:v>
                </c:pt>
                <c:pt idx="10">
                  <c:v>15769</c:v>
                </c:pt>
                <c:pt idx="11">
                  <c:v>16635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65-4CE3-B2CD-3A312CB146BD}"/>
            </c:ext>
          </c:extLst>
        </c:ser>
        <c:ser>
          <c:idx val="2"/>
          <c:order val="2"/>
          <c:tx>
            <c:strRef>
              <c:f>'PC-sales-countries-World-123'!$B$78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'PC-sales-countries-World-123'!$C$78:$N$78</c:f>
              <c:numCache>
                <c:formatCode>_-* #,##0\ _F_-;\-* #,##0\ _F_-;_-* "-"??\ _F_-;_-@_-</c:formatCode>
                <c:ptCount val="12"/>
                <c:pt idx="0">
                  <c:v>15737</c:v>
                </c:pt>
                <c:pt idx="1">
                  <c:v>20511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65-4CE3-B2CD-3A312CB14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2928"/>
        <c:axId val="114414720"/>
      </c:lineChart>
      <c:catAx>
        <c:axId val="1144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414720"/>
        <c:crosses val="autoZero"/>
        <c:auto val="1"/>
        <c:lblAlgn val="ctr"/>
        <c:lblOffset val="100"/>
        <c:noMultiLvlLbl val="0"/>
      </c:catAx>
      <c:valAx>
        <c:axId val="1144147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41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2381002113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'PC-sales-countries-World-123'!$C$19:$N$19</c:f>
              <c:numCache>
                <c:formatCode>_-* #,##0\ _F_-;\-* #,##0\ _F_-;_-* "-"??\ _F_-;_-@_-</c:formatCode>
                <c:ptCount val="12"/>
                <c:pt idx="0">
                  <c:v>37247</c:v>
                </c:pt>
                <c:pt idx="1">
                  <c:v>35910</c:v>
                </c:pt>
                <c:pt idx="2">
                  <c:v>41336</c:v>
                </c:pt>
                <c:pt idx="3">
                  <c:v>31743</c:v>
                </c:pt>
                <c:pt idx="4">
                  <c:v>32559</c:v>
                </c:pt>
                <c:pt idx="5">
                  <c:v>38404</c:v>
                </c:pt>
                <c:pt idx="6">
                  <c:v>29882</c:v>
                </c:pt>
                <c:pt idx="7">
                  <c:v>31885</c:v>
                </c:pt>
                <c:pt idx="8">
                  <c:v>34597</c:v>
                </c:pt>
                <c:pt idx="9">
                  <c:v>33916</c:v>
                </c:pt>
                <c:pt idx="10">
                  <c:v>33213</c:v>
                </c:pt>
                <c:pt idx="11">
                  <c:v>27705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E-4E18-BF13-56919A0DE25C}"/>
            </c:ext>
          </c:extLst>
        </c:ser>
        <c:ser>
          <c:idx val="1"/>
          <c:order val="1"/>
          <c:tx>
            <c:strRef>
              <c:f>'PC-sales-countries-World-123'!$B$20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'PC-sales-countries-World-123'!$C$20:$N$20</c:f>
              <c:numCache>
                <c:formatCode>_-* #,##0\ _F_-;\-* #,##0\ _F_-;_-* "-"??\ _F_-;_-@_-</c:formatCode>
                <c:ptCount val="12"/>
                <c:pt idx="0">
                  <c:v>43573</c:v>
                </c:pt>
                <c:pt idx="1">
                  <c:v>44060</c:v>
                </c:pt>
                <c:pt idx="2">
                  <c:v>57000</c:v>
                </c:pt>
                <c:pt idx="3">
                  <c:v>44048</c:v>
                </c:pt>
                <c:pt idx="4">
                  <c:v>45761</c:v>
                </c:pt>
                <c:pt idx="5">
                  <c:v>56527</c:v>
                </c:pt>
                <c:pt idx="6">
                  <c:v>39196</c:v>
                </c:pt>
                <c:pt idx="7">
                  <c:v>39922</c:v>
                </c:pt>
                <c:pt idx="8">
                  <c:v>42785</c:v>
                </c:pt>
                <c:pt idx="9">
                  <c:v>42728</c:v>
                </c:pt>
                <c:pt idx="10">
                  <c:v>41190</c:v>
                </c:pt>
                <c:pt idx="11">
                  <c:v>29063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D6-46CA-A014-A21CF214B9D6}"/>
            </c:ext>
          </c:extLst>
        </c:ser>
        <c:ser>
          <c:idx val="2"/>
          <c:order val="2"/>
          <c:tx>
            <c:strRef>
              <c:f>'PC-sales-countries-World-123'!$B$21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'PC-sales-countries-World-123'!$C$21:$N$21</c:f>
              <c:numCache>
                <c:formatCode>_-* #,##0\ _F_-;\-* #,##0\ _F_-;_-* "-"??\ _F_-;_-@_-</c:formatCode>
                <c:ptCount val="12"/>
                <c:pt idx="0">
                  <c:v>50508</c:v>
                </c:pt>
                <c:pt idx="1">
                  <c:v>48241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6-46CA-A014-A21CF214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51168"/>
        <c:axId val="71752704"/>
      </c:lineChart>
      <c:catAx>
        <c:axId val="717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752704"/>
        <c:crosses val="autoZero"/>
        <c:auto val="1"/>
        <c:lblAlgn val="ctr"/>
        <c:lblOffset val="100"/>
        <c:noMultiLvlLbl val="0"/>
      </c:catAx>
      <c:valAx>
        <c:axId val="7175270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75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877755006651"/>
          <c:y val="0.38034009046741502"/>
          <c:w val="0.12661596010479026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'PC-sales-countries-World-123'!$B$79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'PC-sales-countries-World-123'!$C$79:$N$79</c:f>
              <c:numCache>
                <c:formatCode>_-* #,##0\ _F_-;\-* #,##0\ _F_-;_-* "-"??\ _F_-;_-@_-</c:formatCode>
                <c:ptCount val="12"/>
                <c:pt idx="0">
                  <c:v>9337</c:v>
                </c:pt>
                <c:pt idx="1">
                  <c:v>8616</c:v>
                </c:pt>
                <c:pt idx="2">
                  <c:v>11025</c:v>
                </c:pt>
                <c:pt idx="3">
                  <c:v>8469</c:v>
                </c:pt>
                <c:pt idx="4">
                  <c:v>10198</c:v>
                </c:pt>
                <c:pt idx="5">
                  <c:v>11067</c:v>
                </c:pt>
                <c:pt idx="6">
                  <c:v>11316</c:v>
                </c:pt>
                <c:pt idx="7">
                  <c:v>13321</c:v>
                </c:pt>
                <c:pt idx="8">
                  <c:v>11927</c:v>
                </c:pt>
                <c:pt idx="9">
                  <c:v>10541</c:v>
                </c:pt>
                <c:pt idx="10">
                  <c:v>11074</c:v>
                </c:pt>
                <c:pt idx="11">
                  <c:v>12437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1-410B-BE54-DC09441E05C2}"/>
            </c:ext>
          </c:extLst>
        </c:ser>
        <c:ser>
          <c:idx val="1"/>
          <c:order val="1"/>
          <c:tx>
            <c:strRef>
              <c:f>'PC-sales-countries-World-123'!$B$80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'PC-sales-countries-World-123'!$C$80:$N$80</c:f>
              <c:numCache>
                <c:formatCode>_-* #,##0\ _F_-;\-* #,##0\ _F_-;_-* "-"??\ _F_-;_-@_-</c:formatCode>
                <c:ptCount val="12"/>
                <c:pt idx="0">
                  <c:v>12134</c:v>
                </c:pt>
                <c:pt idx="1">
                  <c:v>12581</c:v>
                </c:pt>
                <c:pt idx="2">
                  <c:v>12251</c:v>
                </c:pt>
                <c:pt idx="3">
                  <c:v>9865</c:v>
                </c:pt>
                <c:pt idx="4">
                  <c:v>13641</c:v>
                </c:pt>
                <c:pt idx="5">
                  <c:v>12315</c:v>
                </c:pt>
                <c:pt idx="6">
                  <c:v>14488</c:v>
                </c:pt>
                <c:pt idx="7">
                  <c:v>11693</c:v>
                </c:pt>
                <c:pt idx="8">
                  <c:v>11743</c:v>
                </c:pt>
                <c:pt idx="9">
                  <c:v>11393</c:v>
                </c:pt>
                <c:pt idx="10">
                  <c:v>9498</c:v>
                </c:pt>
                <c:pt idx="11">
                  <c:v>13009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3-4E79-93D6-DB3F1B497CB3}"/>
            </c:ext>
          </c:extLst>
        </c:ser>
        <c:ser>
          <c:idx val="2"/>
          <c:order val="2"/>
          <c:tx>
            <c:strRef>
              <c:f>'PC-sales-countries-World-123'!$B$81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'PC-sales-countries-World-123'!$C$81:$N$81</c:f>
              <c:numCache>
                <c:formatCode>_-* #,##0\ _F_-;\-* #,##0\ _F_-;_-* "-"??\ _F_-;_-@_-</c:formatCode>
                <c:ptCount val="12"/>
                <c:pt idx="0">
                  <c:v>12733</c:v>
                </c:pt>
                <c:pt idx="1">
                  <c:v>11485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3-4E79-93D6-DB3F1B497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65056"/>
        <c:axId val="126379136"/>
      </c:lineChart>
      <c:catAx>
        <c:axId val="1263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79136"/>
        <c:crosses val="autoZero"/>
        <c:auto val="1"/>
        <c:lblAlgn val="ctr"/>
        <c:lblOffset val="100"/>
        <c:noMultiLvlLbl val="0"/>
      </c:catAx>
      <c:valAx>
        <c:axId val="12637913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18858913127657"/>
          <c:y val="0.31476430167714448"/>
          <c:w val="0.12131147540983607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'PC-sales-countries-World-123'!$B$82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'PC-sales-countries-World-123'!$C$82:$N$82</c:f>
              <c:numCache>
                <c:formatCode>_-* #,##0\ _F_-;\-* #,##0\ _F_-;_-* "-"??\ _F_-;_-@_-</c:formatCode>
                <c:ptCount val="12"/>
                <c:pt idx="0">
                  <c:v>91662</c:v>
                </c:pt>
                <c:pt idx="1">
                  <c:v>114349</c:v>
                </c:pt>
                <c:pt idx="2">
                  <c:v>55129</c:v>
                </c:pt>
                <c:pt idx="3">
                  <c:v>32706</c:v>
                </c:pt>
                <c:pt idx="4">
                  <c:v>40460</c:v>
                </c:pt>
                <c:pt idx="5">
                  <c:v>35922</c:v>
                </c:pt>
                <c:pt idx="6">
                  <c:v>36945</c:v>
                </c:pt>
                <c:pt idx="7">
                  <c:v>21282</c:v>
                </c:pt>
                <c:pt idx="8">
                  <c:v>46698</c:v>
                </c:pt>
                <c:pt idx="9">
                  <c:v>45228</c:v>
                </c:pt>
                <c:pt idx="10">
                  <c:v>46403</c:v>
                </c:pt>
                <c:pt idx="11">
                  <c:v>64072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D-4DB0-B942-09F1C4468331}"/>
            </c:ext>
          </c:extLst>
        </c:ser>
        <c:ser>
          <c:idx val="1"/>
          <c:order val="1"/>
          <c:tx>
            <c:strRef>
              <c:f>'PC-sales-countries-World-123'!$B$83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'PC-sales-countries-World-123'!$C$83:$N$83</c:f>
              <c:numCache>
                <c:formatCode>_-* #,##0\ _F_-;\-* #,##0\ _F_-;_-* "-"??\ _F_-;_-@_-</c:formatCode>
                <c:ptCount val="12"/>
                <c:pt idx="0">
                  <c:v>52499</c:v>
                </c:pt>
                <c:pt idx="1">
                  <c:v>61851</c:v>
                </c:pt>
                <c:pt idx="2">
                  <c:v>68414</c:v>
                </c:pt>
                <c:pt idx="3">
                  <c:v>74270</c:v>
                </c:pt>
                <c:pt idx="4">
                  <c:v>71466</c:v>
                </c:pt>
                <c:pt idx="5">
                  <c:v>72279</c:v>
                </c:pt>
                <c:pt idx="6">
                  <c:v>72832</c:v>
                </c:pt>
                <c:pt idx="7">
                  <c:v>79332</c:v>
                </c:pt>
                <c:pt idx="8">
                  <c:v>75735</c:v>
                </c:pt>
                <c:pt idx="9">
                  <c:v>75261</c:v>
                </c:pt>
                <c:pt idx="10">
                  <c:v>75261</c:v>
                </c:pt>
                <c:pt idx="11">
                  <c:v>75922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B-459C-BAF6-AD38C0555F07}"/>
            </c:ext>
          </c:extLst>
        </c:ser>
        <c:ser>
          <c:idx val="2"/>
          <c:order val="2"/>
          <c:tx>
            <c:strRef>
              <c:f>'PC-sales-countries-World-123'!$B$84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'PC-sales-countries-World-123'!$C$84:$N$84</c:f>
              <c:numCache>
                <c:formatCode>_-* #,##0\ _F_-;\-* #,##0\ _F_-;_-* "-"??\ _F_-;_-@_-</c:formatCode>
                <c:ptCount val="12"/>
                <c:pt idx="0">
                  <c:v>38561</c:v>
                </c:pt>
                <c:pt idx="1">
                  <c:v>153761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B-459C-BAF6-AD38C0555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0752"/>
        <c:axId val="126412288"/>
      </c:lineChart>
      <c:catAx>
        <c:axId val="1264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412288"/>
        <c:crosses val="autoZero"/>
        <c:auto val="1"/>
        <c:lblAlgn val="ctr"/>
        <c:lblOffset val="100"/>
        <c:noMultiLvlLbl val="0"/>
      </c:catAx>
      <c:valAx>
        <c:axId val="1264122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41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877755006651"/>
          <c:y val="0.38034002381002113"/>
          <c:w val="0.12661596010479026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'PC-sales-countries-World-123'!$B$85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'PC-sales-countries-World-123'!$C$85:$N$85</c:f>
              <c:numCache>
                <c:formatCode>_-* #,##0\ _F_-;\-* #,##0\ _F_-;_-* "-"??\ _F_-;_-@_-</c:formatCode>
                <c:ptCount val="12"/>
                <c:pt idx="0">
                  <c:v>5739</c:v>
                </c:pt>
                <c:pt idx="1">
                  <c:v>6006</c:v>
                </c:pt>
                <c:pt idx="2">
                  <c:v>7476</c:v>
                </c:pt>
                <c:pt idx="3">
                  <c:v>6058</c:v>
                </c:pt>
                <c:pt idx="4">
                  <c:v>6650</c:v>
                </c:pt>
                <c:pt idx="5">
                  <c:v>8024</c:v>
                </c:pt>
                <c:pt idx="6">
                  <c:v>6221</c:v>
                </c:pt>
                <c:pt idx="7">
                  <c:v>6695</c:v>
                </c:pt>
                <c:pt idx="8">
                  <c:v>5237</c:v>
                </c:pt>
                <c:pt idx="9">
                  <c:v>7728</c:v>
                </c:pt>
                <c:pt idx="10">
                  <c:v>6976</c:v>
                </c:pt>
                <c:pt idx="11">
                  <c:v>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2-4E5C-BCFF-94A78A234D24}"/>
            </c:ext>
          </c:extLst>
        </c:ser>
        <c:ser>
          <c:idx val="1"/>
          <c:order val="1"/>
          <c:tx>
            <c:strRef>
              <c:f>'PC-sales-countries-World-123'!$B$86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'PC-sales-countries-World-123'!$C$86:$N$86</c:f>
              <c:numCache>
                <c:formatCode>_-* #,##0\ _F_-;\-* #,##0\ _F_-;_-* "-"??\ _F_-;_-@_-</c:formatCode>
                <c:ptCount val="12"/>
                <c:pt idx="0">
                  <c:v>6680</c:v>
                </c:pt>
                <c:pt idx="1">
                  <c:v>6623</c:v>
                </c:pt>
                <c:pt idx="2">
                  <c:v>8852</c:v>
                </c:pt>
                <c:pt idx="3">
                  <c:v>6892</c:v>
                </c:pt>
                <c:pt idx="4">
                  <c:v>8039</c:v>
                </c:pt>
                <c:pt idx="5">
                  <c:v>8371</c:v>
                </c:pt>
                <c:pt idx="6">
                  <c:v>8001</c:v>
                </c:pt>
                <c:pt idx="7">
                  <c:v>7487</c:v>
                </c:pt>
                <c:pt idx="8">
                  <c:v>6859</c:v>
                </c:pt>
                <c:pt idx="9">
                  <c:v>7807</c:v>
                </c:pt>
                <c:pt idx="10">
                  <c:v>7064</c:v>
                </c:pt>
                <c:pt idx="11">
                  <c:v>5328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B-4D3A-883E-739CADA4D657}"/>
            </c:ext>
          </c:extLst>
        </c:ser>
        <c:ser>
          <c:idx val="2"/>
          <c:order val="2"/>
          <c:tx>
            <c:strRef>
              <c:f>'PC-sales-countries-World-123'!$B$87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'PC-sales-countries-World-123'!$C$87:$N$87</c:f>
              <c:numCache>
                <c:formatCode>_-* #,##0\ _F_-;\-* #,##0\ _F_-;_-* "-"??\ _F_-;_-@_-</c:formatCode>
                <c:ptCount val="12"/>
                <c:pt idx="0">
                  <c:v>7935</c:v>
                </c:pt>
                <c:pt idx="1">
                  <c:v>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B-4D3A-883E-739CADA4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67104"/>
        <c:axId val="126768640"/>
      </c:lineChart>
      <c:catAx>
        <c:axId val="1267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68640"/>
        <c:crosses val="autoZero"/>
        <c:auto val="1"/>
        <c:lblAlgn val="ctr"/>
        <c:lblOffset val="100"/>
        <c:noMultiLvlLbl val="0"/>
      </c:catAx>
      <c:valAx>
        <c:axId val="12676864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6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13375472148321"/>
          <c:y val="0.38159090113735783"/>
          <c:w val="0.12705073444868864"/>
          <c:h val="0.1939756780863203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'PC-sales-countries-World-123'!$B$88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'PC-sales-countries-World-123'!$C$88:$N$88</c:f>
              <c:numCache>
                <c:formatCode>_-* #,##0\ _F_-;\-* #,##0\ _F_-;_-* "-"??\ _F_-;_-@_-</c:formatCode>
                <c:ptCount val="12"/>
                <c:pt idx="0">
                  <c:v>4320</c:v>
                </c:pt>
                <c:pt idx="1">
                  <c:v>3805</c:v>
                </c:pt>
                <c:pt idx="2">
                  <c:v>4627</c:v>
                </c:pt>
                <c:pt idx="3">
                  <c:v>3918</c:v>
                </c:pt>
                <c:pt idx="4">
                  <c:v>4784</c:v>
                </c:pt>
                <c:pt idx="5">
                  <c:v>4393</c:v>
                </c:pt>
                <c:pt idx="6">
                  <c:v>3796</c:v>
                </c:pt>
                <c:pt idx="7">
                  <c:v>3339</c:v>
                </c:pt>
                <c:pt idx="8">
                  <c:v>3776</c:v>
                </c:pt>
                <c:pt idx="9">
                  <c:v>3433</c:v>
                </c:pt>
                <c:pt idx="10">
                  <c:v>3623</c:v>
                </c:pt>
                <c:pt idx="11">
                  <c:v>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D-4462-B4CE-4E979A30323E}"/>
            </c:ext>
          </c:extLst>
        </c:ser>
        <c:ser>
          <c:idx val="1"/>
          <c:order val="1"/>
          <c:tx>
            <c:strRef>
              <c:f>'PC-sales-countries-World-123'!$B$89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'PC-sales-countries-World-123'!$C$89:$N$89</c:f>
              <c:numCache>
                <c:formatCode>_-* #,##0\ _F_-;\-* #,##0\ _F_-;_-* "-"??\ _F_-;_-@_-</c:formatCode>
                <c:ptCount val="12"/>
                <c:pt idx="0">
                  <c:v>4425</c:v>
                </c:pt>
                <c:pt idx="1">
                  <c:v>3770</c:v>
                </c:pt>
                <c:pt idx="2">
                  <c:v>5255</c:v>
                </c:pt>
                <c:pt idx="3">
                  <c:v>4338</c:v>
                </c:pt>
                <c:pt idx="4">
                  <c:v>4853</c:v>
                </c:pt>
                <c:pt idx="5">
                  <c:v>4669</c:v>
                </c:pt>
                <c:pt idx="6">
                  <c:v>3776</c:v>
                </c:pt>
                <c:pt idx="7">
                  <c:v>3240</c:v>
                </c:pt>
                <c:pt idx="8">
                  <c:v>4051</c:v>
                </c:pt>
                <c:pt idx="9">
                  <c:v>3881</c:v>
                </c:pt>
                <c:pt idx="10">
                  <c:v>3860</c:v>
                </c:pt>
                <c:pt idx="11">
                  <c:v>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8-4820-AC45-3C6D3B4E651A}"/>
            </c:ext>
          </c:extLst>
        </c:ser>
        <c:ser>
          <c:idx val="2"/>
          <c:order val="2"/>
          <c:tx>
            <c:strRef>
              <c:f>'PC-sales-countries-World-123'!$B$90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'PC-sales-countries-World-123'!$C$90:$N$90</c:f>
              <c:numCache>
                <c:formatCode>_-* #,##0\ _F_-;\-* #,##0\ _F_-;_-* "-"??\ _F_-;_-@_-</c:formatCode>
                <c:ptCount val="12"/>
                <c:pt idx="0">
                  <c:v>4543</c:v>
                </c:pt>
                <c:pt idx="1">
                  <c:v>4178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8-4820-AC45-3C6D3B4E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92448"/>
        <c:axId val="126793984"/>
      </c:lineChart>
      <c:catAx>
        <c:axId val="1267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93984"/>
        <c:crosses val="autoZero"/>
        <c:auto val="1"/>
        <c:lblAlgn val="ctr"/>
        <c:lblOffset val="100"/>
        <c:noMultiLvlLbl val="0"/>
      </c:catAx>
      <c:valAx>
        <c:axId val="12679398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9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361883620930365"/>
          <c:w val="0.12131147540983607"/>
          <c:h val="0.1939756103438292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'PC-sales-countries-World-123'!$B$91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'PC-sales-countries-World-123'!$C$91:$N$91</c:f>
              <c:numCache>
                <c:formatCode>_-* #,##0\ _F_-;\-* #,##0\ _F_-;_-* "-"??\ _F_-;_-@_-</c:formatCode>
                <c:ptCount val="12"/>
                <c:pt idx="0">
                  <c:v>42377</c:v>
                </c:pt>
                <c:pt idx="1">
                  <c:v>62103</c:v>
                </c:pt>
                <c:pt idx="2">
                  <c:v>59919</c:v>
                </c:pt>
                <c:pt idx="3">
                  <c:v>69110</c:v>
                </c:pt>
                <c:pt idx="4">
                  <c:v>84979</c:v>
                </c:pt>
                <c:pt idx="5">
                  <c:v>89269</c:v>
                </c:pt>
                <c:pt idx="6">
                  <c:v>73378</c:v>
                </c:pt>
                <c:pt idx="7">
                  <c:v>51907</c:v>
                </c:pt>
                <c:pt idx="8">
                  <c:v>67239</c:v>
                </c:pt>
                <c:pt idx="9">
                  <c:v>65966</c:v>
                </c:pt>
                <c:pt idx="10">
                  <c:v>73222</c:v>
                </c:pt>
                <c:pt idx="11">
                  <c:v>73927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A-45D7-A867-8B5D5505CC7A}"/>
            </c:ext>
          </c:extLst>
        </c:ser>
        <c:ser>
          <c:idx val="1"/>
          <c:order val="1"/>
          <c:tx>
            <c:strRef>
              <c:f>'PC-sales-countries-World-123'!$B$92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'PC-sales-countries-World-123'!$C$92:$N$92</c:f>
              <c:numCache>
                <c:formatCode>_-* #,##0\ _F_-;\-* #,##0\ _F_-;_-* "-"??\ _F_-;_-@_-</c:formatCode>
                <c:ptCount val="12"/>
                <c:pt idx="0">
                  <c:v>64147</c:v>
                </c:pt>
                <c:pt idx="1">
                  <c:v>73892</c:v>
                </c:pt>
                <c:pt idx="2">
                  <c:v>99524</c:v>
                </c:pt>
                <c:pt idx="3">
                  <c:v>74751</c:v>
                </c:pt>
                <c:pt idx="4">
                  <c:v>92023</c:v>
                </c:pt>
                <c:pt idx="5">
                  <c:v>101084</c:v>
                </c:pt>
                <c:pt idx="6">
                  <c:v>81095</c:v>
                </c:pt>
                <c:pt idx="7">
                  <c:v>55954</c:v>
                </c:pt>
                <c:pt idx="8">
                  <c:v>68800</c:v>
                </c:pt>
                <c:pt idx="9">
                  <c:v>77892</c:v>
                </c:pt>
                <c:pt idx="10">
                  <c:v>79074</c:v>
                </c:pt>
                <c:pt idx="11">
                  <c:v>81013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A-43C5-BDCF-7BA1836788F8}"/>
            </c:ext>
          </c:extLst>
        </c:ser>
        <c:ser>
          <c:idx val="2"/>
          <c:order val="2"/>
          <c:tx>
            <c:strRef>
              <c:f>'PC-sales-countries-World-123'!$B$93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'PC-sales-countries-World-123'!$C$93:$N$93</c:f>
              <c:numCache>
                <c:formatCode>_-* #,##0\ _F_-;\-* #,##0\ _F_-;_-* "-"??\ _F_-;_-@_-</c:formatCode>
                <c:ptCount val="12"/>
                <c:pt idx="0">
                  <c:v>68685</c:v>
                </c:pt>
                <c:pt idx="1">
                  <c:v>81348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A-43C5-BDCF-7BA18367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37504"/>
        <c:axId val="126839040"/>
      </c:lineChart>
      <c:catAx>
        <c:axId val="126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39040"/>
        <c:crosses val="autoZero"/>
        <c:auto val="1"/>
        <c:lblAlgn val="ctr"/>
        <c:lblOffset val="100"/>
        <c:noMultiLvlLbl val="0"/>
      </c:catAx>
      <c:valAx>
        <c:axId val="12683904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3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034009046741502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'PC-sales-countries-World-123'!$B$94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'PC-sales-countries-World-123'!$C$94:$N$94</c:f>
              <c:numCache>
                <c:formatCode>_-* #,##0\ _F_-;\-* #,##0\ _F_-;_-* "-"??\ _F_-;_-@_-</c:formatCode>
                <c:ptCount val="12"/>
                <c:pt idx="0">
                  <c:v>19893</c:v>
                </c:pt>
                <c:pt idx="1">
                  <c:v>21136</c:v>
                </c:pt>
                <c:pt idx="2">
                  <c:v>28710</c:v>
                </c:pt>
                <c:pt idx="3">
                  <c:v>21942</c:v>
                </c:pt>
                <c:pt idx="4">
                  <c:v>26413</c:v>
                </c:pt>
                <c:pt idx="5">
                  <c:v>26088</c:v>
                </c:pt>
                <c:pt idx="6">
                  <c:v>17834</c:v>
                </c:pt>
                <c:pt idx="7">
                  <c:v>20576</c:v>
                </c:pt>
                <c:pt idx="8">
                  <c:v>22048</c:v>
                </c:pt>
                <c:pt idx="9">
                  <c:v>22383</c:v>
                </c:pt>
                <c:pt idx="10">
                  <c:v>25588</c:v>
                </c:pt>
                <c:pt idx="11">
                  <c:v>35476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B-4AD4-85F2-F2FD601431D6}"/>
            </c:ext>
          </c:extLst>
        </c:ser>
        <c:ser>
          <c:idx val="1"/>
          <c:order val="1"/>
          <c:tx>
            <c:strRef>
              <c:f>'PC-sales-countries-World-123'!$B$95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'PC-sales-countries-World-123'!$C$95:$N$95</c:f>
              <c:numCache>
                <c:formatCode>_-* #,##0\ _F_-;\-* #,##0\ _F_-;_-* "-"??\ _F_-;_-@_-</c:formatCode>
                <c:ptCount val="12"/>
                <c:pt idx="0">
                  <c:v>14597</c:v>
                </c:pt>
                <c:pt idx="1">
                  <c:v>18446</c:v>
                </c:pt>
                <c:pt idx="2">
                  <c:v>30261</c:v>
                </c:pt>
                <c:pt idx="3">
                  <c:v>20586</c:v>
                </c:pt>
                <c:pt idx="4">
                  <c:v>28490</c:v>
                </c:pt>
                <c:pt idx="5">
                  <c:v>28283</c:v>
                </c:pt>
                <c:pt idx="6">
                  <c:v>17300</c:v>
                </c:pt>
                <c:pt idx="7">
                  <c:v>23871</c:v>
                </c:pt>
                <c:pt idx="8">
                  <c:v>28135</c:v>
                </c:pt>
                <c:pt idx="9">
                  <c:v>25016</c:v>
                </c:pt>
                <c:pt idx="10">
                  <c:v>25406</c:v>
                </c:pt>
                <c:pt idx="11">
                  <c:v>29274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E-43A4-A5A4-4B784332B54A}"/>
            </c:ext>
          </c:extLst>
        </c:ser>
        <c:ser>
          <c:idx val="2"/>
          <c:order val="2"/>
          <c:tx>
            <c:strRef>
              <c:f>'PC-sales-countries-World-123'!$B$96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'PC-sales-countries-World-123'!$C$96:$N$96</c:f>
              <c:numCache>
                <c:formatCode>_-* #,##0\ _F_-;\-* #,##0\ _F_-;_-* "-"??\ _F_-;_-@_-</c:formatCode>
                <c:ptCount val="12"/>
                <c:pt idx="0">
                  <c:v>17164</c:v>
                </c:pt>
                <c:pt idx="1">
                  <c:v>18766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E-43A4-A5A4-4B784332B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65792"/>
        <c:axId val="126867328"/>
      </c:lineChart>
      <c:catAx>
        <c:axId val="1268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67328"/>
        <c:crosses val="autoZero"/>
        <c:auto val="1"/>
        <c:lblAlgn val="ctr"/>
        <c:lblOffset val="100"/>
        <c:noMultiLvlLbl val="0"/>
      </c:catAx>
      <c:valAx>
        <c:axId val="12686732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86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361883620930365"/>
          <c:w val="0.1261841512544904"/>
          <c:h val="0.1939756103438292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'PC-sales-countries-World-123'!$B$97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'PC-sales-countries-World-123'!$C$97:$N$97</c:f>
              <c:numCache>
                <c:formatCode>_-* #,##0\ _F_-;\-* #,##0\ _F_-;_-* "-"??\ _F_-;_-@_-</c:formatCode>
                <c:ptCount val="12"/>
                <c:pt idx="0">
                  <c:v>15899</c:v>
                </c:pt>
                <c:pt idx="1">
                  <c:v>16606</c:v>
                </c:pt>
                <c:pt idx="2">
                  <c:v>21722</c:v>
                </c:pt>
                <c:pt idx="3">
                  <c:v>15646</c:v>
                </c:pt>
                <c:pt idx="4">
                  <c:v>18450</c:v>
                </c:pt>
                <c:pt idx="5">
                  <c:v>21276</c:v>
                </c:pt>
                <c:pt idx="6">
                  <c:v>15654</c:v>
                </c:pt>
                <c:pt idx="7">
                  <c:v>16405</c:v>
                </c:pt>
                <c:pt idx="8">
                  <c:v>20948</c:v>
                </c:pt>
                <c:pt idx="9">
                  <c:v>17185</c:v>
                </c:pt>
                <c:pt idx="10">
                  <c:v>21406</c:v>
                </c:pt>
                <c:pt idx="11">
                  <c:v>24737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B-4BD0-A556-E0E66213B151}"/>
            </c:ext>
          </c:extLst>
        </c:ser>
        <c:ser>
          <c:idx val="1"/>
          <c:order val="1"/>
          <c:tx>
            <c:strRef>
              <c:f>'PC-sales-countries-World-123'!$B$98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'PC-sales-countries-World-123'!$C$98:$N$98</c:f>
              <c:numCache>
                <c:formatCode>_-* #,##0\ _F_-;\-* #,##0\ _F_-;_-* "-"??\ _F_-;_-@_-</c:formatCode>
                <c:ptCount val="12"/>
                <c:pt idx="0">
                  <c:v>16437</c:v>
                </c:pt>
                <c:pt idx="1">
                  <c:v>17198</c:v>
                </c:pt>
                <c:pt idx="2">
                  <c:v>25167</c:v>
                </c:pt>
                <c:pt idx="3">
                  <c:v>18139</c:v>
                </c:pt>
                <c:pt idx="4">
                  <c:v>21597</c:v>
                </c:pt>
                <c:pt idx="5">
                  <c:v>25214</c:v>
                </c:pt>
                <c:pt idx="6">
                  <c:v>18599</c:v>
                </c:pt>
                <c:pt idx="7">
                  <c:v>18977</c:v>
                </c:pt>
                <c:pt idx="8">
                  <c:v>21578</c:v>
                </c:pt>
                <c:pt idx="9">
                  <c:v>20355</c:v>
                </c:pt>
                <c:pt idx="10">
                  <c:v>22005</c:v>
                </c:pt>
                <c:pt idx="11">
                  <c:v>26948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9-4CC2-AA83-AA77372CAC33}"/>
            </c:ext>
          </c:extLst>
        </c:ser>
        <c:ser>
          <c:idx val="2"/>
          <c:order val="2"/>
          <c:tx>
            <c:strRef>
              <c:f>'PC-sales-countries-World-123'!$B$99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'PC-sales-countries-World-123'!$C$99:$N$99</c:f>
              <c:numCache>
                <c:formatCode>_-* #,##0\ _F_-;\-* #,##0\ _F_-;_-* "-"??\ _F_-;_-@_-</c:formatCode>
                <c:ptCount val="12"/>
                <c:pt idx="0">
                  <c:v>15236</c:v>
                </c:pt>
                <c:pt idx="1">
                  <c:v>18521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9-4CC2-AA83-AA77372CA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86784"/>
        <c:axId val="131688320"/>
      </c:lineChart>
      <c:catAx>
        <c:axId val="1316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688320"/>
        <c:crosses val="autoZero"/>
        <c:auto val="1"/>
        <c:lblAlgn val="ctr"/>
        <c:lblOffset val="100"/>
        <c:noMultiLvlLbl val="0"/>
      </c:catAx>
      <c:valAx>
        <c:axId val="1316883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68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4072873243795"/>
          <c:y val="0.38361877510669257"/>
          <c:w val="0.12091503267973856"/>
          <c:h val="0.1939756103438292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'PC-sales-countries-World-123'!$B$100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'PC-sales-countries-World-123'!$C$100:$N$100</c:f>
              <c:numCache>
                <c:formatCode>_-* #,##0\ _F_-;\-* #,##0\ _F_-;_-* "-"??\ _F_-;_-@_-</c:formatCode>
                <c:ptCount val="12"/>
                <c:pt idx="0">
                  <c:v>29020</c:v>
                </c:pt>
                <c:pt idx="1">
                  <c:v>37641</c:v>
                </c:pt>
                <c:pt idx="2">
                  <c:v>50173</c:v>
                </c:pt>
                <c:pt idx="3">
                  <c:v>45564</c:v>
                </c:pt>
                <c:pt idx="4">
                  <c:v>51750</c:v>
                </c:pt>
                <c:pt idx="5">
                  <c:v>64134</c:v>
                </c:pt>
                <c:pt idx="6">
                  <c:v>41031</c:v>
                </c:pt>
                <c:pt idx="7">
                  <c:v>35230</c:v>
                </c:pt>
                <c:pt idx="8">
                  <c:v>44681</c:v>
                </c:pt>
                <c:pt idx="9">
                  <c:v>47440</c:v>
                </c:pt>
                <c:pt idx="10">
                  <c:v>59222</c:v>
                </c:pt>
                <c:pt idx="11">
                  <c:v>86774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8-4E11-AE62-A077ACF3EFD4}"/>
            </c:ext>
          </c:extLst>
        </c:ser>
        <c:ser>
          <c:idx val="1"/>
          <c:order val="1"/>
          <c:tx>
            <c:strRef>
              <c:f>'PC-sales-countries-World-123'!$B$101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'PC-sales-countries-World-123'!$C$101:$N$101</c:f>
              <c:numCache>
                <c:formatCode>_-* #,##0\ _F_-;\-* #,##0\ _F_-;_-* "-"??\ _F_-;_-@_-</c:formatCode>
                <c:ptCount val="12"/>
                <c:pt idx="0">
                  <c:v>37288</c:v>
                </c:pt>
                <c:pt idx="1">
                  <c:v>58907</c:v>
                </c:pt>
                <c:pt idx="2">
                  <c:v>79226</c:v>
                </c:pt>
                <c:pt idx="3">
                  <c:v>77398</c:v>
                </c:pt>
                <c:pt idx="4">
                  <c:v>87218</c:v>
                </c:pt>
                <c:pt idx="5">
                  <c:v>89833</c:v>
                </c:pt>
                <c:pt idx="6">
                  <c:v>85916</c:v>
                </c:pt>
                <c:pt idx="7">
                  <c:v>66131</c:v>
                </c:pt>
                <c:pt idx="8">
                  <c:v>78971</c:v>
                </c:pt>
                <c:pt idx="9">
                  <c:v>82611</c:v>
                </c:pt>
                <c:pt idx="10">
                  <c:v>91424</c:v>
                </c:pt>
                <c:pt idx="11">
                  <c:v>126416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C5-4A94-BB9E-F14089ACB040}"/>
            </c:ext>
          </c:extLst>
        </c:ser>
        <c:ser>
          <c:idx val="2"/>
          <c:order val="2"/>
          <c:tx>
            <c:strRef>
              <c:f>'PC-sales-countries-World-123'!$B$102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'PC-sales-countries-World-123'!$C$102:$N$102</c:f>
              <c:numCache>
                <c:formatCode>_-* #,##0\ _F_-;\-* #,##0\ _F_-;_-* "-"??\ _F_-;_-@_-</c:formatCode>
                <c:ptCount val="12"/>
                <c:pt idx="0">
                  <c:v>64041</c:v>
                </c:pt>
                <c:pt idx="1">
                  <c:v>82277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5-4A94-BB9E-F14089AC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7152"/>
        <c:axId val="144418688"/>
      </c:lineChart>
      <c:catAx>
        <c:axId val="144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418688"/>
        <c:crosses val="autoZero"/>
        <c:auto val="1"/>
        <c:lblAlgn val="ctr"/>
        <c:lblOffset val="100"/>
        <c:noMultiLvlLbl val="0"/>
      </c:catAx>
      <c:valAx>
        <c:axId val="1444186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41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236539876959824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'PC-sales-countries-World-123'!$B$103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'PC-sales-countries-World-123'!$C$103:$N$103</c:f>
              <c:numCache>
                <c:formatCode>_-* #,##0\ _F_-;\-* #,##0\ _F_-;_-* "-"??\ _F_-;_-@_-</c:formatCode>
                <c:ptCount val="12"/>
                <c:pt idx="0">
                  <c:v>115087</c:v>
                </c:pt>
                <c:pt idx="1">
                  <c:v>58994</c:v>
                </c:pt>
                <c:pt idx="2">
                  <c:v>243479</c:v>
                </c:pt>
                <c:pt idx="3">
                  <c:v>119167</c:v>
                </c:pt>
                <c:pt idx="4">
                  <c:v>124394</c:v>
                </c:pt>
                <c:pt idx="5">
                  <c:v>140958</c:v>
                </c:pt>
                <c:pt idx="6">
                  <c:v>112162</c:v>
                </c:pt>
                <c:pt idx="7">
                  <c:v>68858</c:v>
                </c:pt>
                <c:pt idx="8">
                  <c:v>225269</c:v>
                </c:pt>
                <c:pt idx="9">
                  <c:v>134344</c:v>
                </c:pt>
                <c:pt idx="10">
                  <c:v>142889</c:v>
                </c:pt>
                <c:pt idx="11">
                  <c:v>128462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9-493E-BD12-8FAE899C5117}"/>
            </c:ext>
          </c:extLst>
        </c:ser>
        <c:ser>
          <c:idx val="1"/>
          <c:order val="1"/>
          <c:tx>
            <c:strRef>
              <c:f>'PC-sales-countries-World-123'!$B$104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'PC-sales-countries-World-123'!$C$104:$N$104</c:f>
              <c:numCache>
                <c:formatCode>_-* #,##0\ _F_-;\-* #,##0\ _F_-;_-* "-"??\ _F_-;_-@_-</c:formatCode>
                <c:ptCount val="12"/>
                <c:pt idx="0">
                  <c:v>131994</c:v>
                </c:pt>
                <c:pt idx="1">
                  <c:v>74441</c:v>
                </c:pt>
                <c:pt idx="2">
                  <c:v>287825</c:v>
                </c:pt>
                <c:pt idx="3">
                  <c:v>132990</c:v>
                </c:pt>
                <c:pt idx="4">
                  <c:v>145204</c:v>
                </c:pt>
                <c:pt idx="5">
                  <c:v>177266</c:v>
                </c:pt>
                <c:pt idx="6">
                  <c:v>143921</c:v>
                </c:pt>
                <c:pt idx="7">
                  <c:v>85657</c:v>
                </c:pt>
                <c:pt idx="8">
                  <c:v>272610</c:v>
                </c:pt>
                <c:pt idx="9">
                  <c:v>153529</c:v>
                </c:pt>
                <c:pt idx="10">
                  <c:v>156525</c:v>
                </c:pt>
                <c:pt idx="11">
                  <c:v>141092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7-43C1-9E5D-1A024CE1E01E}"/>
            </c:ext>
          </c:extLst>
        </c:ser>
        <c:ser>
          <c:idx val="2"/>
          <c:order val="2"/>
          <c:tx>
            <c:strRef>
              <c:f>'PC-sales-countries-World-123'!$B$105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'PC-sales-countries-World-123'!$C$105:$N$105</c:f>
              <c:numCache>
                <c:formatCode>_-* #,##0\ _F_-;\-* #,##0\ _F_-;_-* "-"??\ _F_-;_-@_-</c:formatCode>
                <c:ptCount val="12"/>
                <c:pt idx="0">
                  <c:v>142876</c:v>
                </c:pt>
                <c:pt idx="1">
                  <c:v>84886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7-43C1-9E5D-1A024CE1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48672"/>
        <c:axId val="155150208"/>
      </c:lineChart>
      <c:catAx>
        <c:axId val="1551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150208"/>
        <c:crosses val="autoZero"/>
        <c:auto val="1"/>
        <c:lblAlgn val="ctr"/>
        <c:lblOffset val="100"/>
        <c:noMultiLvlLbl val="0"/>
      </c:catAx>
      <c:valAx>
        <c:axId val="15515020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14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361877510669257"/>
          <c:w val="0.12639968689245468"/>
          <c:h val="0.1939756103438292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'PC-sales-countries-World-123'!$B$106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'PC-sales-countries-World-123'!$C$106:$N$106</c:f>
              <c:numCache>
                <c:formatCode>_-* #,##0\ _F_-;\-* #,##0\ _F_-;_-* "-"??\ _F_-;_-@_-</c:formatCode>
                <c:ptCount val="12"/>
                <c:pt idx="0">
                  <c:v>5323</c:v>
                </c:pt>
                <c:pt idx="1">
                  <c:v>5325</c:v>
                </c:pt>
                <c:pt idx="2">
                  <c:v>546</c:v>
                </c:pt>
                <c:pt idx="3">
                  <c:v>1190</c:v>
                </c:pt>
                <c:pt idx="4">
                  <c:v>2542</c:v>
                </c:pt>
                <c:pt idx="5">
                  <c:v>2902</c:v>
                </c:pt>
                <c:pt idx="6">
                  <c:v>3647</c:v>
                </c:pt>
                <c:pt idx="7">
                  <c:v>2924</c:v>
                </c:pt>
                <c:pt idx="8">
                  <c:v>3400</c:v>
                </c:pt>
                <c:pt idx="9">
                  <c:v>3139</c:v>
                </c:pt>
                <c:pt idx="10">
                  <c:v>3090</c:v>
                </c:pt>
                <c:pt idx="11">
                  <c:v>3860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2-45E3-935E-EB75C5663D11}"/>
            </c:ext>
          </c:extLst>
        </c:ser>
        <c:ser>
          <c:idx val="1"/>
          <c:order val="1"/>
          <c:tx>
            <c:strRef>
              <c:f>'PC-sales-countries-World-123'!$B$107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'PC-sales-countries-World-123'!$C$107:$N$107</c:f>
              <c:numCache>
                <c:formatCode>_-* #,##0\ _F_-;\-* #,##0\ _F_-;_-* "-"??\ _F_-;_-@_-</c:formatCode>
                <c:ptCount val="12"/>
                <c:pt idx="0">
                  <c:v>2958</c:v>
                </c:pt>
                <c:pt idx="1">
                  <c:v>3730</c:v>
                </c:pt>
                <c:pt idx="2">
                  <c:v>4511</c:v>
                </c:pt>
                <c:pt idx="3">
                  <c:v>5160</c:v>
                </c:pt>
                <c:pt idx="4">
                  <c:v>5118</c:v>
                </c:pt>
                <c:pt idx="5">
                  <c:v>5581</c:v>
                </c:pt>
                <c:pt idx="6">
                  <c:v>5311</c:v>
                </c:pt>
                <c:pt idx="7">
                  <c:v>5790</c:v>
                </c:pt>
                <c:pt idx="8">
                  <c:v>5693</c:v>
                </c:pt>
                <c:pt idx="9">
                  <c:v>5735</c:v>
                </c:pt>
                <c:pt idx="10">
                  <c:v>5385</c:v>
                </c:pt>
                <c:pt idx="11">
                  <c:v>5890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2-4CFC-BAF2-36C67C004CD9}"/>
            </c:ext>
          </c:extLst>
        </c:ser>
        <c:ser>
          <c:idx val="2"/>
          <c:order val="2"/>
          <c:tx>
            <c:strRef>
              <c:f>'PC-sales-countries-World-123'!$B$108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'PC-sales-countries-World-123'!$C$108:$N$108</c:f>
              <c:numCache>
                <c:formatCode>_-* #,##0\ _F_-;\-* #,##0\ _F_-;_-* "-"??\ _F_-;_-@_-</c:formatCode>
                <c:ptCount val="12"/>
                <c:pt idx="0">
                  <c:v>4363</c:v>
                </c:pt>
                <c:pt idx="1">
                  <c:v>5650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2-4CFC-BAF2-36C67C004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76960"/>
        <c:axId val="155178496"/>
      </c:lineChart>
      <c:catAx>
        <c:axId val="1551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178496"/>
        <c:crosses val="autoZero"/>
        <c:auto val="1"/>
        <c:lblAlgn val="ctr"/>
        <c:lblOffset val="100"/>
        <c:noMultiLvlLbl val="0"/>
      </c:catAx>
      <c:valAx>
        <c:axId val="15517849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17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034002381002113"/>
          <c:w val="0.121311475409836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'PC-sales-countries-World-123'!$B$25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'PC-sales-countries-World-123'!$C$25:$N$25</c:f>
              <c:numCache>
                <c:formatCode>_-* #,##0\ _F_-;\-* #,##0\ _F_-;_-* "-"??\ _F_-;_-@_-</c:formatCode>
                <c:ptCount val="12"/>
                <c:pt idx="0">
                  <c:v>2034</c:v>
                </c:pt>
                <c:pt idx="1">
                  <c:v>1933</c:v>
                </c:pt>
                <c:pt idx="2">
                  <c:v>2707</c:v>
                </c:pt>
                <c:pt idx="3">
                  <c:v>2357</c:v>
                </c:pt>
                <c:pt idx="4">
                  <c:v>2695</c:v>
                </c:pt>
                <c:pt idx="5">
                  <c:v>2823</c:v>
                </c:pt>
                <c:pt idx="6">
                  <c:v>2836</c:v>
                </c:pt>
                <c:pt idx="7">
                  <c:v>2474</c:v>
                </c:pt>
                <c:pt idx="8">
                  <c:v>2116</c:v>
                </c:pt>
                <c:pt idx="9">
                  <c:v>2388</c:v>
                </c:pt>
                <c:pt idx="10">
                  <c:v>2311</c:v>
                </c:pt>
                <c:pt idx="11">
                  <c:v>2009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AA-4DA4-8592-04877EC60580}"/>
            </c:ext>
          </c:extLst>
        </c:ser>
        <c:ser>
          <c:idx val="1"/>
          <c:order val="1"/>
          <c:tx>
            <c:strRef>
              <c:f>'PC-sales-countries-World-123'!$B$26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'PC-sales-countries-World-123'!$C$26:$N$26</c:f>
              <c:numCache>
                <c:formatCode>_-* #,##0\ _F_-;\-* #,##0\ _F_-;_-* "-"??\ _F_-;_-@_-</c:formatCode>
                <c:ptCount val="12"/>
                <c:pt idx="0">
                  <c:v>2513</c:v>
                </c:pt>
                <c:pt idx="1">
                  <c:v>2588</c:v>
                </c:pt>
                <c:pt idx="2">
                  <c:v>2755</c:v>
                </c:pt>
                <c:pt idx="3">
                  <c:v>2838</c:v>
                </c:pt>
                <c:pt idx="4">
                  <c:v>3135</c:v>
                </c:pt>
                <c:pt idx="5">
                  <c:v>3804</c:v>
                </c:pt>
                <c:pt idx="6">
                  <c:v>3359</c:v>
                </c:pt>
                <c:pt idx="7">
                  <c:v>3414</c:v>
                </c:pt>
                <c:pt idx="8">
                  <c:v>2976</c:v>
                </c:pt>
                <c:pt idx="9">
                  <c:v>3775</c:v>
                </c:pt>
                <c:pt idx="10">
                  <c:v>3541</c:v>
                </c:pt>
                <c:pt idx="11">
                  <c:v>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7-4FA9-A324-0B560421BB02}"/>
            </c:ext>
          </c:extLst>
        </c:ser>
        <c:ser>
          <c:idx val="2"/>
          <c:order val="2"/>
          <c:tx>
            <c:strRef>
              <c:f>'PC-sales-countries-World-123'!$B$27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'PC-sales-countries-World-123'!$C$27:$N$27</c:f>
              <c:numCache>
                <c:formatCode>_-* #,##0\ _F_-;\-* #,##0\ _F_-;_-* "-"??\ _F_-;_-@_-</c:formatCode>
                <c:ptCount val="12"/>
                <c:pt idx="0">
                  <c:v>3982</c:v>
                </c:pt>
                <c:pt idx="1">
                  <c:v>3607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7-4FA9-A324-0B560421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0896"/>
        <c:axId val="107122688"/>
      </c:lineChart>
      <c:catAx>
        <c:axId val="1071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122688"/>
        <c:crosses val="autoZero"/>
        <c:auto val="1"/>
        <c:lblAlgn val="ctr"/>
        <c:lblOffset val="100"/>
        <c:noMultiLvlLbl val="0"/>
      </c:catAx>
      <c:valAx>
        <c:axId val="1071226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12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12633131602354"/>
          <c:y val="0.38236561610170083"/>
          <c:w val="0.12235898435185955"/>
          <c:h val="0.1929487477880379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'PC-sales-countries-World-123'!$B$109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'PC-sales-countries-World-123'!$C$109:$N$109</c:f>
              <c:numCache>
                <c:formatCode>_-* #,##0\ _F_-;\-* #,##0\ _F_-;_-* "-"??\ _F_-;_-@_-</c:formatCode>
                <c:ptCount val="12"/>
                <c:pt idx="0">
                  <c:v>778808</c:v>
                </c:pt>
                <c:pt idx="1">
                  <c:v>830126</c:v>
                </c:pt>
                <c:pt idx="2">
                  <c:v>940002</c:v>
                </c:pt>
                <c:pt idx="3">
                  <c:v>983699</c:v>
                </c:pt>
                <c:pt idx="4">
                  <c:v>1067042</c:v>
                </c:pt>
                <c:pt idx="5">
                  <c:v>916835</c:v>
                </c:pt>
                <c:pt idx="6">
                  <c:v>911047</c:v>
                </c:pt>
                <c:pt idx="7">
                  <c:v>1020010</c:v>
                </c:pt>
                <c:pt idx="8">
                  <c:v>924014</c:v>
                </c:pt>
                <c:pt idx="9">
                  <c:v>952862</c:v>
                </c:pt>
                <c:pt idx="10">
                  <c:v>917954</c:v>
                </c:pt>
                <c:pt idx="11">
                  <c:v>1087370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0-46A5-8D1C-D7626B342F5D}"/>
            </c:ext>
          </c:extLst>
        </c:ser>
        <c:ser>
          <c:idx val="1"/>
          <c:order val="1"/>
          <c:tx>
            <c:strRef>
              <c:f>'PC-sales-countries-World-123'!$B$110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'PC-sales-countries-World-123'!$C$110:$N$110</c:f>
              <c:numCache>
                <c:formatCode>_-* #,##0\ _F_-;\-* #,##0\ _F_-;_-* "-"??\ _F_-;_-@_-</c:formatCode>
                <c:ptCount val="12"/>
                <c:pt idx="0">
                  <c:v>858019</c:v>
                </c:pt>
                <c:pt idx="1">
                  <c:v>949123</c:v>
                </c:pt>
                <c:pt idx="2">
                  <c:v>1142471</c:v>
                </c:pt>
                <c:pt idx="3">
                  <c:v>1107963</c:v>
                </c:pt>
                <c:pt idx="4">
                  <c:v>1061993</c:v>
                </c:pt>
                <c:pt idx="5">
                  <c:v>1059522</c:v>
                </c:pt>
                <c:pt idx="6">
                  <c:v>1139720</c:v>
                </c:pt>
                <c:pt idx="7">
                  <c:v>1055779</c:v>
                </c:pt>
                <c:pt idx="8">
                  <c:v>855967</c:v>
                </c:pt>
                <c:pt idx="9">
                  <c:v>1000784</c:v>
                </c:pt>
                <c:pt idx="10">
                  <c:v>985933</c:v>
                </c:pt>
                <c:pt idx="11">
                  <c:v>1464411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4-4AD0-B063-5808D24EC53B}"/>
            </c:ext>
          </c:extLst>
        </c:ser>
        <c:ser>
          <c:idx val="2"/>
          <c:order val="2"/>
          <c:tx>
            <c:strRef>
              <c:f>'PC-sales-countries-World-123'!$B$111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'PC-sales-countries-World-123'!$C$111:$N$111</c:f>
              <c:numCache>
                <c:formatCode>_-* #,##0\ _F_-;\-* #,##0\ _F_-;_-* "-"??\ _F_-;_-@_-</c:formatCode>
                <c:ptCount val="12"/>
                <c:pt idx="0">
                  <c:v>897826</c:v>
                </c:pt>
                <c:pt idx="1">
                  <c:v>1061070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4-4AD0-B063-5808D24EC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28032"/>
        <c:axId val="173229568"/>
      </c:lineChart>
      <c:catAx>
        <c:axId val="17322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229568"/>
        <c:crosses val="autoZero"/>
        <c:auto val="1"/>
        <c:lblAlgn val="ctr"/>
        <c:lblOffset val="100"/>
        <c:noMultiLvlLbl val="0"/>
      </c:catAx>
      <c:valAx>
        <c:axId val="17322956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22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877755006651"/>
          <c:y val="0.38361883620930365"/>
          <c:w val="0.12661596010479026"/>
          <c:h val="0.1939756103438292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'PC-sales-countries-World-123'!$B$31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'PC-sales-countries-World-123'!$C$31:$N$31</c:f>
              <c:numCache>
                <c:formatCode>_-* #,##0\ _F_-;\-* #,##0\ _F_-;_-* "-"??\ _F_-;_-@_-</c:formatCode>
                <c:ptCount val="12"/>
                <c:pt idx="0">
                  <c:v>2186344</c:v>
                </c:pt>
                <c:pt idx="1">
                  <c:v>1487442</c:v>
                </c:pt>
                <c:pt idx="2">
                  <c:v>1864360</c:v>
                </c:pt>
                <c:pt idx="3">
                  <c:v>965120</c:v>
                </c:pt>
                <c:pt idx="4">
                  <c:v>1622879</c:v>
                </c:pt>
                <c:pt idx="5">
                  <c:v>2221604</c:v>
                </c:pt>
                <c:pt idx="6">
                  <c:v>2174325</c:v>
                </c:pt>
                <c:pt idx="7">
                  <c:v>2125260</c:v>
                </c:pt>
                <c:pt idx="8">
                  <c:v>2331769</c:v>
                </c:pt>
                <c:pt idx="9">
                  <c:v>2231197</c:v>
                </c:pt>
                <c:pt idx="10">
                  <c:v>2074816</c:v>
                </c:pt>
                <c:pt idx="11">
                  <c:v>2278171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B-4BF7-A660-70167D1B87DC}"/>
            </c:ext>
          </c:extLst>
        </c:ser>
        <c:ser>
          <c:idx val="1"/>
          <c:order val="1"/>
          <c:tx>
            <c:strRef>
              <c:f>'PC-sales-countries-World-123'!$B$32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'PC-sales-countries-World-123'!$C$32:$N$32</c:f>
              <c:numCache>
                <c:formatCode>_-* #,##0\ _F_-;\-* #,##0\ _F_-;_-* "-"??\ _F_-;_-@_-</c:formatCode>
                <c:ptCount val="12"/>
                <c:pt idx="0">
                  <c:v>1468597</c:v>
                </c:pt>
                <c:pt idx="1">
                  <c:v>1652664</c:v>
                </c:pt>
                <c:pt idx="2">
                  <c:v>2016942</c:v>
                </c:pt>
                <c:pt idx="3">
                  <c:v>1811079</c:v>
                </c:pt>
                <c:pt idx="4">
                  <c:v>2051123</c:v>
                </c:pt>
                <c:pt idx="5">
                  <c:v>2267821</c:v>
                </c:pt>
                <c:pt idx="6">
                  <c:v>2099850</c:v>
                </c:pt>
                <c:pt idx="7">
                  <c:v>2272783</c:v>
                </c:pt>
                <c:pt idx="8">
                  <c:v>2487274</c:v>
                </c:pt>
                <c:pt idx="9">
                  <c:v>2487873</c:v>
                </c:pt>
                <c:pt idx="10">
                  <c:v>2604370</c:v>
                </c:pt>
                <c:pt idx="11">
                  <c:v>2842448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E-4A53-92E7-4552B92988AE}"/>
            </c:ext>
          </c:extLst>
        </c:ser>
        <c:ser>
          <c:idx val="2"/>
          <c:order val="2"/>
          <c:tx>
            <c:strRef>
              <c:f>'PC-sales-countries-World-123'!$B$33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'PC-sales-countries-World-123'!$C$33:$N$33</c:f>
              <c:numCache>
                <c:formatCode>_-* #,##0\ _F_-;\-* #,##0\ _F_-;_-* "-"??\ _F_-;_-@_-</c:formatCode>
                <c:ptCount val="12"/>
                <c:pt idx="0">
                  <c:v>2115435</c:v>
                </c:pt>
                <c:pt idx="1">
                  <c:v>1332815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E-4A53-92E7-4552B9298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56704"/>
        <c:axId val="173258240"/>
      </c:lineChart>
      <c:catAx>
        <c:axId val="1732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258240"/>
        <c:crosses val="autoZero"/>
        <c:auto val="1"/>
        <c:lblAlgn val="ctr"/>
        <c:lblOffset val="100"/>
        <c:noMultiLvlLbl val="0"/>
      </c:catAx>
      <c:valAx>
        <c:axId val="17325824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25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25203164048"/>
          <c:y val="0.38236561610170083"/>
          <c:w val="0.12709924619066285"/>
          <c:h val="0.1929487477880379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'PC-sales-countries-World-123'!$C$10:$N$10</c:f>
              <c:numCache>
                <c:formatCode>_-* #,##0\ _F_-;\-* #,##0\ _F_-;_-* "-"??\ _F_-;_-@_-</c:formatCode>
                <c:ptCount val="12"/>
                <c:pt idx="0">
                  <c:v>55334</c:v>
                </c:pt>
                <c:pt idx="1">
                  <c:v>60620</c:v>
                </c:pt>
                <c:pt idx="2">
                  <c:v>72892</c:v>
                </c:pt>
                <c:pt idx="3">
                  <c:v>57814</c:v>
                </c:pt>
                <c:pt idx="4">
                  <c:v>68711</c:v>
                </c:pt>
                <c:pt idx="5">
                  <c:v>70957</c:v>
                </c:pt>
                <c:pt idx="6">
                  <c:v>60727</c:v>
                </c:pt>
                <c:pt idx="7">
                  <c:v>68568</c:v>
                </c:pt>
                <c:pt idx="8">
                  <c:v>67133</c:v>
                </c:pt>
                <c:pt idx="9">
                  <c:v>61784</c:v>
                </c:pt>
                <c:pt idx="10">
                  <c:v>69112</c:v>
                </c:pt>
                <c:pt idx="11">
                  <c:v>64036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F3-498D-9143-413A5303E95F}"/>
            </c:ext>
          </c:extLst>
        </c:ser>
        <c:ser>
          <c:idx val="1"/>
          <c:order val="1"/>
          <c:tx>
            <c:strRef>
              <c:f>'PC-sales-countries-World-123'!$B$11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'PC-sales-countries-World-123'!$C$11:$N$11</c:f>
              <c:numCache>
                <c:formatCode>_-* #,##0\ _F_-;\-* #,##0\ _F_-;_-* "-"??\ _F_-;_-@_-</c:formatCode>
                <c:ptCount val="12"/>
                <c:pt idx="0">
                  <c:v>63300</c:v>
                </c:pt>
                <c:pt idx="1">
                  <c:v>64323</c:v>
                </c:pt>
                <c:pt idx="2">
                  <c:v>70708</c:v>
                </c:pt>
                <c:pt idx="3">
                  <c:v>61222</c:v>
                </c:pt>
                <c:pt idx="4">
                  <c:v>77131</c:v>
                </c:pt>
                <c:pt idx="5">
                  <c:v>89456</c:v>
                </c:pt>
                <c:pt idx="6">
                  <c:v>74159</c:v>
                </c:pt>
                <c:pt idx="7">
                  <c:v>81649</c:v>
                </c:pt>
                <c:pt idx="8">
                  <c:v>82663</c:v>
                </c:pt>
                <c:pt idx="9">
                  <c:v>76875</c:v>
                </c:pt>
                <c:pt idx="10">
                  <c:v>80817</c:v>
                </c:pt>
                <c:pt idx="11">
                  <c:v>68520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2D-48A2-8F1F-CB4215FE5995}"/>
            </c:ext>
          </c:extLst>
        </c:ser>
        <c:ser>
          <c:idx val="2"/>
          <c:order val="2"/>
          <c:tx>
            <c:strRef>
              <c:f>'PC-sales-countries-World-123'!$B$12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'PC-sales-countries-World-123'!$C$12:$N$12</c:f>
              <c:numCache>
                <c:formatCode>_-* #,##0\ _F_-;\-* #,##0\ _F_-;_-* "-"??\ _F_-;_-@_-</c:formatCode>
                <c:ptCount val="12"/>
                <c:pt idx="0">
                  <c:v>66264</c:v>
                </c:pt>
                <c:pt idx="1">
                  <c:v>77383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D-48A2-8F1F-CB4215FE5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48224"/>
        <c:axId val="173749760"/>
      </c:lineChart>
      <c:catAx>
        <c:axId val="1737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749760"/>
        <c:crosses val="autoZero"/>
        <c:auto val="1"/>
        <c:lblAlgn val="ctr"/>
        <c:lblOffset val="100"/>
        <c:noMultiLvlLbl val="0"/>
      </c:catAx>
      <c:valAx>
        <c:axId val="17374976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74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2381002113"/>
          <c:w val="0.1263996868924546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'PC-sales-countries-World-123'!$C$13:$N$13</c:f>
              <c:numCache>
                <c:formatCode>_-* #,##0\ _F_-;\-* #,##0\ _F_-;_-* "-"??\ _F_-;_-@_-</c:formatCode>
                <c:ptCount val="12"/>
                <c:pt idx="0">
                  <c:v>15674</c:v>
                </c:pt>
                <c:pt idx="1">
                  <c:v>16159</c:v>
                </c:pt>
                <c:pt idx="2">
                  <c:v>20720</c:v>
                </c:pt>
                <c:pt idx="3">
                  <c:v>16424</c:v>
                </c:pt>
                <c:pt idx="4">
                  <c:v>17166</c:v>
                </c:pt>
                <c:pt idx="5">
                  <c:v>22608</c:v>
                </c:pt>
                <c:pt idx="6">
                  <c:v>16096</c:v>
                </c:pt>
                <c:pt idx="7">
                  <c:v>17841</c:v>
                </c:pt>
                <c:pt idx="8">
                  <c:v>20794</c:v>
                </c:pt>
                <c:pt idx="9">
                  <c:v>15788</c:v>
                </c:pt>
                <c:pt idx="10">
                  <c:v>18378</c:v>
                </c:pt>
                <c:pt idx="11">
                  <c:v>17602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A-4A4C-AB99-28052376A70C}"/>
            </c:ext>
          </c:extLst>
        </c:ser>
        <c:ser>
          <c:idx val="1"/>
          <c:order val="1"/>
          <c:tx>
            <c:strRef>
              <c:f>'PC-sales-countries-World-123'!$B$14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'PC-sales-countries-World-123'!$C$14:$N$14</c:f>
              <c:numCache>
                <c:formatCode>_-* #,##0\ _F_-;\-* #,##0\ _F_-;_-* "-"??\ _F_-;_-@_-</c:formatCode>
                <c:ptCount val="12"/>
                <c:pt idx="0">
                  <c:v>18850</c:v>
                </c:pt>
                <c:pt idx="1">
                  <c:v>17895</c:v>
                </c:pt>
                <c:pt idx="2">
                  <c:v>26307</c:v>
                </c:pt>
                <c:pt idx="3">
                  <c:v>18504</c:v>
                </c:pt>
                <c:pt idx="4">
                  <c:v>20623</c:v>
                </c:pt>
                <c:pt idx="5">
                  <c:v>24511</c:v>
                </c:pt>
                <c:pt idx="6">
                  <c:v>17643</c:v>
                </c:pt>
                <c:pt idx="7">
                  <c:v>18852</c:v>
                </c:pt>
                <c:pt idx="8">
                  <c:v>19701</c:v>
                </c:pt>
                <c:pt idx="9">
                  <c:v>18867</c:v>
                </c:pt>
                <c:pt idx="10">
                  <c:v>19010</c:v>
                </c:pt>
                <c:pt idx="11">
                  <c:v>18387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4-4B33-BE1B-DF7545453610}"/>
            </c:ext>
          </c:extLst>
        </c:ser>
        <c:ser>
          <c:idx val="2"/>
          <c:order val="2"/>
          <c:tx>
            <c:strRef>
              <c:f>'PC-sales-countries-World-123'!$B$15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'PC-sales-countries-World-123'!$C$15:$N$15</c:f>
              <c:numCache>
                <c:formatCode>_-* #,##0\ _F_-;\-* #,##0\ _F_-;_-* "-"??\ _F_-;_-@_-</c:formatCode>
                <c:ptCount val="12"/>
                <c:pt idx="0">
                  <c:v>17552</c:v>
                </c:pt>
                <c:pt idx="1">
                  <c:v>20010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4-4B33-BE1B-DF7545453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59488"/>
        <c:axId val="173781760"/>
      </c:lineChart>
      <c:catAx>
        <c:axId val="1737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781760"/>
        <c:crosses val="autoZero"/>
        <c:auto val="1"/>
        <c:lblAlgn val="ctr"/>
        <c:lblOffset val="100"/>
        <c:noMultiLvlLbl val="0"/>
      </c:catAx>
      <c:valAx>
        <c:axId val="17378176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75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324916282017"/>
          <c:y val="0.38034002381002113"/>
          <c:w val="0.12775753890240624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'PC-sales-countries-World-123'!$C$16:$N$16</c:f>
              <c:numCache>
                <c:formatCode>_-* #,##0\ _F_-;\-* #,##0\ _F_-;_-* "-"??\ _F_-;_-@_-</c:formatCode>
                <c:ptCount val="12"/>
                <c:pt idx="0">
                  <c:v>5161</c:v>
                </c:pt>
                <c:pt idx="1">
                  <c:v>4417</c:v>
                </c:pt>
                <c:pt idx="2">
                  <c:v>5796</c:v>
                </c:pt>
                <c:pt idx="3">
                  <c:v>5421</c:v>
                </c:pt>
                <c:pt idx="4">
                  <c:v>6418</c:v>
                </c:pt>
                <c:pt idx="5">
                  <c:v>6011</c:v>
                </c:pt>
                <c:pt idx="6">
                  <c:v>5185</c:v>
                </c:pt>
                <c:pt idx="7">
                  <c:v>5511</c:v>
                </c:pt>
                <c:pt idx="8">
                  <c:v>5508</c:v>
                </c:pt>
                <c:pt idx="9">
                  <c:v>4789</c:v>
                </c:pt>
                <c:pt idx="10">
                  <c:v>4681</c:v>
                </c:pt>
                <c:pt idx="11">
                  <c:v>4930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D-4A38-B6FD-4B6D1C2F3CAE}"/>
            </c:ext>
          </c:extLst>
        </c:ser>
        <c:ser>
          <c:idx val="1"/>
          <c:order val="1"/>
          <c:tx>
            <c:strRef>
              <c:f>'PC-sales-countries-World-123'!$B$17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'PC-sales-countries-World-123'!$C$17:$N$17</c:f>
              <c:numCache>
                <c:formatCode>_-* #,##0\ _F_-;\-* #,##0\ _F_-;_-* "-"??\ _F_-;_-@_-</c:formatCode>
                <c:ptCount val="12"/>
                <c:pt idx="0">
                  <c:v>5184</c:v>
                </c:pt>
                <c:pt idx="1">
                  <c:v>5026</c:v>
                </c:pt>
                <c:pt idx="2">
                  <c:v>6589</c:v>
                </c:pt>
                <c:pt idx="3">
                  <c:v>6003</c:v>
                </c:pt>
                <c:pt idx="4">
                  <c:v>6837</c:v>
                </c:pt>
                <c:pt idx="5">
                  <c:v>7075</c:v>
                </c:pt>
                <c:pt idx="6">
                  <c:v>6003</c:v>
                </c:pt>
                <c:pt idx="7">
                  <c:v>5443</c:v>
                </c:pt>
                <c:pt idx="8">
                  <c:v>5381</c:v>
                </c:pt>
                <c:pt idx="9">
                  <c:v>5585</c:v>
                </c:pt>
                <c:pt idx="10">
                  <c:v>5547</c:v>
                </c:pt>
                <c:pt idx="11">
                  <c:v>4758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3-41B3-88DF-143B53BFFFB3}"/>
            </c:ext>
          </c:extLst>
        </c:ser>
        <c:ser>
          <c:idx val="2"/>
          <c:order val="2"/>
          <c:tx>
            <c:strRef>
              <c:f>'PC-sales-countries-World-123'!$B$18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'PC-sales-countries-World-123'!$C$18:$N$18</c:f>
              <c:numCache>
                <c:formatCode>_-* #,##0\ _F_-;\-* #,##0\ _F_-;_-* "-"??\ _F_-;_-@_-</c:formatCode>
                <c:ptCount val="12"/>
                <c:pt idx="0">
                  <c:v>4480</c:v>
                </c:pt>
                <c:pt idx="1">
                  <c:v>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3-41B3-88DF-143B53BF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4368"/>
        <c:axId val="174400256"/>
      </c:lineChart>
      <c:catAx>
        <c:axId val="1743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400256"/>
        <c:crosses val="autoZero"/>
        <c:auto val="1"/>
        <c:lblAlgn val="ctr"/>
        <c:lblOffset val="100"/>
        <c:noMultiLvlLbl val="0"/>
      </c:catAx>
      <c:valAx>
        <c:axId val="17440025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39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46604817962111"/>
          <c:y val="0.38159090113735783"/>
          <c:w val="0.12195567697966563"/>
          <c:h val="0.1939756780863203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'PC-sales-countries-World-123'!$B$22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'PC-sales-countries-World-123'!$C$22:$N$22</c:f>
              <c:numCache>
                <c:formatCode>_-* #,##0\ _F_-;\-* #,##0\ _F_-;_-* "-"??\ _F_-;_-@_-</c:formatCode>
                <c:ptCount val="12"/>
                <c:pt idx="0">
                  <c:v>92212</c:v>
                </c:pt>
                <c:pt idx="1">
                  <c:v>97590</c:v>
                </c:pt>
                <c:pt idx="2">
                  <c:v>108272</c:v>
                </c:pt>
                <c:pt idx="3">
                  <c:v>109707</c:v>
                </c:pt>
                <c:pt idx="4">
                  <c:v>139483</c:v>
                </c:pt>
                <c:pt idx="5">
                  <c:v>133587</c:v>
                </c:pt>
                <c:pt idx="6">
                  <c:v>135431</c:v>
                </c:pt>
                <c:pt idx="7">
                  <c:v>154947</c:v>
                </c:pt>
                <c:pt idx="8">
                  <c:v>143210</c:v>
                </c:pt>
                <c:pt idx="9">
                  <c:v>137003</c:v>
                </c:pt>
                <c:pt idx="10">
                  <c:v>158766</c:v>
                </c:pt>
                <c:pt idx="11">
                  <c:v>164284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2-43FA-9B19-FD373DF5D9B8}"/>
            </c:ext>
          </c:extLst>
        </c:ser>
        <c:ser>
          <c:idx val="1"/>
          <c:order val="1"/>
          <c:tx>
            <c:strRef>
              <c:f>'PC-sales-countries-World-123'!$B$23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'PC-sales-countries-World-123'!$C$23:$N$23</c:f>
              <c:numCache>
                <c:formatCode>_-* #,##0\ _F_-;\-* #,##0\ _F_-;_-* "-"??\ _F_-;_-@_-</c:formatCode>
                <c:ptCount val="12"/>
                <c:pt idx="0">
                  <c:v>103872</c:v>
                </c:pt>
                <c:pt idx="1">
                  <c:v>95867</c:v>
                </c:pt>
                <c:pt idx="2">
                  <c:v>146174</c:v>
                </c:pt>
                <c:pt idx="3">
                  <c:v>118127</c:v>
                </c:pt>
                <c:pt idx="4">
                  <c:v>127508</c:v>
                </c:pt>
                <c:pt idx="5">
                  <c:v>142218</c:v>
                </c:pt>
                <c:pt idx="6">
                  <c:v>176742</c:v>
                </c:pt>
                <c:pt idx="7">
                  <c:v>153478</c:v>
                </c:pt>
                <c:pt idx="8">
                  <c:v>145766</c:v>
                </c:pt>
                <c:pt idx="9">
                  <c:v>163134</c:v>
                </c:pt>
                <c:pt idx="10">
                  <c:v>160693</c:v>
                </c:pt>
                <c:pt idx="11">
                  <c:v>186578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C-4E1B-89CF-475E1A66ED66}"/>
            </c:ext>
          </c:extLst>
        </c:ser>
        <c:ser>
          <c:idx val="2"/>
          <c:order val="2"/>
          <c:tx>
            <c:strRef>
              <c:f>'PC-sales-countries-World-123'!$B$24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'PC-sales-countries-World-123'!$C$24:$N$24</c:f>
              <c:numCache>
                <c:formatCode>_-* #,##0\ _F_-;\-* #,##0\ _F_-;_-* "-"??\ _F_-;_-@_-</c:formatCode>
                <c:ptCount val="12"/>
                <c:pt idx="0">
                  <c:v>118503</c:v>
                </c:pt>
                <c:pt idx="1">
                  <c:v>120315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C-4E1B-89CF-475E1A66E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27136"/>
        <c:axId val="174428928"/>
      </c:lineChart>
      <c:catAx>
        <c:axId val="174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428928"/>
        <c:crosses val="autoZero"/>
        <c:auto val="1"/>
        <c:lblAlgn val="ctr"/>
        <c:lblOffset val="100"/>
        <c:noMultiLvlLbl val="0"/>
      </c:catAx>
      <c:valAx>
        <c:axId val="17442892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42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159099793376888"/>
          <c:w val="0.1273179220273688"/>
          <c:h val="0.1939756780863203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'PC-sales-countries-World-123'!$B$114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'PC-sales-countries-World-123'!$C$113:$N$113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'PC-sales-countries-World-123'!$C$114:$N$114</c:f>
              <c:numCache>
                <c:formatCode>_-* #,##0\ _F_-;\-* #,##0\ _F_-;_-* "-"??\ _F_-;_-@_-</c:formatCode>
                <c:ptCount val="12"/>
                <c:pt idx="0">
                  <c:v>821652</c:v>
                </c:pt>
                <c:pt idx="1">
                  <c:v>803176</c:v>
                </c:pt>
                <c:pt idx="2">
                  <c:v>1125537</c:v>
                </c:pt>
                <c:pt idx="3">
                  <c:v>828977</c:v>
                </c:pt>
                <c:pt idx="4">
                  <c:v>945866</c:v>
                </c:pt>
                <c:pt idx="5">
                  <c:v>1063291</c:v>
                </c:pt>
                <c:pt idx="6">
                  <c:v>873073</c:v>
                </c:pt>
                <c:pt idx="7">
                  <c:v>748626</c:v>
                </c:pt>
                <c:pt idx="8">
                  <c:v>1048599</c:v>
                </c:pt>
                <c:pt idx="9">
                  <c:v>909666</c:v>
                </c:pt>
                <c:pt idx="10">
                  <c:v>1013571</c:v>
                </c:pt>
                <c:pt idx="11">
                  <c:v>1091119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2-4460-9082-FF707F0479B9}"/>
            </c:ext>
          </c:extLst>
        </c:ser>
        <c:ser>
          <c:idx val="1"/>
          <c:order val="1"/>
          <c:tx>
            <c:strRef>
              <c:f>'PC-sales-countries-World-123'!$B$115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'PC-sales-countries-World-123'!$C$113:$N$113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'PC-sales-countries-World-123'!$C$115:$N$115</c:f>
              <c:numCache>
                <c:formatCode>_-* #,##0\ _F_-;\-* #,##0\ _F_-;_-* "-"??\ _F_-;_-@_-</c:formatCode>
                <c:ptCount val="12"/>
                <c:pt idx="0">
                  <c:v>910144</c:v>
                </c:pt>
                <c:pt idx="1">
                  <c:v>901356</c:v>
                </c:pt>
                <c:pt idx="2">
                  <c:v>1420865</c:v>
                </c:pt>
                <c:pt idx="3">
                  <c:v>962836</c:v>
                </c:pt>
                <c:pt idx="4">
                  <c:v>1117931</c:v>
                </c:pt>
                <c:pt idx="5">
                  <c:v>1265812</c:v>
                </c:pt>
                <c:pt idx="6">
                  <c:v>1021435</c:v>
                </c:pt>
                <c:pt idx="7">
                  <c:v>901505</c:v>
                </c:pt>
                <c:pt idx="8">
                  <c:v>1183010</c:v>
                </c:pt>
                <c:pt idx="9">
                  <c:v>1038301</c:v>
                </c:pt>
                <c:pt idx="10">
                  <c:v>1074119</c:v>
                </c:pt>
                <c:pt idx="11">
                  <c:v>1048980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2-4460-9082-FF707F0479B9}"/>
            </c:ext>
          </c:extLst>
        </c:ser>
        <c:ser>
          <c:idx val="2"/>
          <c:order val="2"/>
          <c:tx>
            <c:strRef>
              <c:f>'PC-sales-countries-World-123'!$B$116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'PC-sales-countries-World-123'!$C$113:$N$113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'PC-sales-countries-World-123'!$C$116:$N$116</c:f>
              <c:numCache>
                <c:formatCode>_-* #,##0\ _F_-;\-* #,##0\ _F_-;_-* "-"??\ _F_-;_-@_-</c:formatCode>
                <c:ptCount val="12"/>
                <c:pt idx="0">
                  <c:v>1017149</c:v>
                </c:pt>
                <c:pt idx="1">
                  <c:v>994882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2-4460-9082-FF707F04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52832"/>
        <c:axId val="175362816"/>
      </c:lineChart>
      <c:catAx>
        <c:axId val="1753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362816"/>
        <c:crosses val="autoZero"/>
        <c:auto val="1"/>
        <c:lblAlgn val="ctr"/>
        <c:lblOffset val="100"/>
        <c:noMultiLvlLbl val="0"/>
      </c:catAx>
      <c:valAx>
        <c:axId val="17536281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35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877755006651"/>
          <c:y val="0.38159099793376888"/>
          <c:w val="0.15665740840614106"/>
          <c:h val="0.24013898196236111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'PC-sales-countries-Cumul-World'!$C$8:$N$8</c:f>
              <c:numCache>
                <c:formatCode>_-* #,##0\ _F_-;\-* #,##0\ _F_-;_-* "-"??\ _F_-;_-@_-</c:formatCode>
                <c:ptCount val="12"/>
                <c:pt idx="0">
                  <c:v>29302</c:v>
                </c:pt>
                <c:pt idx="1">
                  <c:v>47918</c:v>
                </c:pt>
                <c:pt idx="2">
                  <c:v>69850</c:v>
                </c:pt>
                <c:pt idx="3">
                  <c:v>89971</c:v>
                </c:pt>
                <c:pt idx="4">
                  <c:v>112335</c:v>
                </c:pt>
                <c:pt idx="5">
                  <c:v>132722</c:v>
                </c:pt>
                <c:pt idx="6">
                  <c:v>155682</c:v>
                </c:pt>
                <c:pt idx="7">
                  <c:v>180158</c:v>
                </c:pt>
                <c:pt idx="8">
                  <c:v>201818</c:v>
                </c:pt>
                <c:pt idx="9">
                  <c:v>220838</c:v>
                </c:pt>
                <c:pt idx="10">
                  <c:v>248976</c:v>
                </c:pt>
                <c:pt idx="11">
                  <c:v>260847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8-4DF8-A8C2-D71662D2057A}"/>
            </c:ext>
          </c:extLst>
        </c:ser>
        <c:ser>
          <c:idx val="1"/>
          <c:order val="1"/>
          <c:tx>
            <c:strRef>
              <c:f>'PC-sales-countries-Cumul-World'!$B$9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'PC-sales-countries-Cumul-World'!$C$9:$N$9</c:f>
              <c:numCache>
                <c:formatCode>_-* #,##0\ _F_-;\-* #,##0\ _F_-;_-* "-"??\ _F_-;_-@_-</c:formatCode>
                <c:ptCount val="12"/>
                <c:pt idx="0">
                  <c:v>32486</c:v>
                </c:pt>
                <c:pt idx="1">
                  <c:v>51571</c:v>
                </c:pt>
                <c:pt idx="2">
                  <c:v>72544</c:v>
                </c:pt>
                <c:pt idx="3">
                  <c:v>93992</c:v>
                </c:pt>
                <c:pt idx="4">
                  <c:v>117540</c:v>
                </c:pt>
                <c:pt idx="5">
                  <c:v>142119</c:v>
                </c:pt>
                <c:pt idx="6">
                  <c:v>169827</c:v>
                </c:pt>
                <c:pt idx="7">
                  <c:v>193008</c:v>
                </c:pt>
                <c:pt idx="8">
                  <c:v>212162</c:v>
                </c:pt>
                <c:pt idx="9">
                  <c:v>237638</c:v>
                </c:pt>
                <c:pt idx="10">
                  <c:v>259398</c:v>
                </c:pt>
                <c:pt idx="11">
                  <c:v>268817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8-4DF8-A8C2-D71662D2057A}"/>
            </c:ext>
          </c:extLst>
        </c:ser>
        <c:ser>
          <c:idx val="2"/>
          <c:order val="2"/>
          <c:tx>
            <c:strRef>
              <c:f>'PC-sales-countries-Cumul-World'!$B$10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'PC-sales-countries-Cumul-World'!$C$10:$N$10</c:f>
              <c:numCache>
                <c:formatCode>_-* #,##0\ _F_-;\-* #,##0\ _F_-;_-* "-"??\ _F_-;_-@_-</c:formatCode>
                <c:ptCount val="12"/>
                <c:pt idx="0">
                  <c:v>22076</c:v>
                </c:pt>
                <c:pt idx="1">
                  <c:v>37382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A8-4DF8-A8C2-D71662D20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22400"/>
        <c:axId val="175702016"/>
      </c:lineChart>
      <c:catAx>
        <c:axId val="1756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702016"/>
        <c:crosses val="autoZero"/>
        <c:auto val="1"/>
        <c:lblAlgn val="ctr"/>
        <c:lblOffset val="100"/>
        <c:noMultiLvlLbl val="0"/>
      </c:catAx>
      <c:valAx>
        <c:axId val="17570201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62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112036786958359"/>
          <c:w val="0.1543389107611548"/>
          <c:h val="0.2377928517510509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'PC-sales-countries-Cumul-World'!$C$11:$N$11</c:f>
              <c:numCache>
                <c:formatCode>_-* #,##0\ _F_-;\-* #,##0\ _F_-;_-* "-"??\ _F_-;_-@_-</c:formatCode>
                <c:ptCount val="12"/>
                <c:pt idx="0">
                  <c:v>55334</c:v>
                </c:pt>
                <c:pt idx="1">
                  <c:v>115954</c:v>
                </c:pt>
                <c:pt idx="2">
                  <c:v>188846</c:v>
                </c:pt>
                <c:pt idx="3">
                  <c:v>246660</c:v>
                </c:pt>
                <c:pt idx="4">
                  <c:v>315371</c:v>
                </c:pt>
                <c:pt idx="5">
                  <c:v>386328</c:v>
                </c:pt>
                <c:pt idx="6">
                  <c:v>447055</c:v>
                </c:pt>
                <c:pt idx="7">
                  <c:v>515623</c:v>
                </c:pt>
                <c:pt idx="8">
                  <c:v>582756</c:v>
                </c:pt>
                <c:pt idx="9">
                  <c:v>644540</c:v>
                </c:pt>
                <c:pt idx="10">
                  <c:v>713652</c:v>
                </c:pt>
                <c:pt idx="11">
                  <c:v>777688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B6-8B72-9C8602405047}"/>
            </c:ext>
          </c:extLst>
        </c:ser>
        <c:ser>
          <c:idx val="1"/>
          <c:order val="1"/>
          <c:tx>
            <c:strRef>
              <c:f>'PC-sales-countries-Cumul-World'!$B$12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'PC-sales-countries-Cumul-World'!$C$12:$N$12</c:f>
              <c:numCache>
                <c:formatCode>_-* #,##0\ _F_-;\-* #,##0\ _F_-;_-* "-"??\ _F_-;_-@_-</c:formatCode>
                <c:ptCount val="12"/>
                <c:pt idx="0">
                  <c:v>63300</c:v>
                </c:pt>
                <c:pt idx="1">
                  <c:v>127623</c:v>
                </c:pt>
                <c:pt idx="2">
                  <c:v>198331</c:v>
                </c:pt>
                <c:pt idx="3">
                  <c:v>259553</c:v>
                </c:pt>
                <c:pt idx="4">
                  <c:v>336684</c:v>
                </c:pt>
                <c:pt idx="5">
                  <c:v>426140</c:v>
                </c:pt>
                <c:pt idx="6">
                  <c:v>500299</c:v>
                </c:pt>
                <c:pt idx="7">
                  <c:v>581948</c:v>
                </c:pt>
                <c:pt idx="8">
                  <c:v>664611</c:v>
                </c:pt>
                <c:pt idx="9">
                  <c:v>741486</c:v>
                </c:pt>
                <c:pt idx="10">
                  <c:v>822303</c:v>
                </c:pt>
                <c:pt idx="11">
                  <c:v>890823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1-4ED2-9AF0-F8D4D8237634}"/>
            </c:ext>
          </c:extLst>
        </c:ser>
        <c:ser>
          <c:idx val="2"/>
          <c:order val="2"/>
          <c:tx>
            <c:strRef>
              <c:f>'PC-sales-countries-Cumul-World'!$B$13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'PC-sales-countries-Cumul-World'!$C$13:$N$13</c:f>
              <c:numCache>
                <c:formatCode>_-* #,##0\ _F_-;\-* #,##0\ _F_-;_-* "-"??\ _F_-;_-@_-</c:formatCode>
                <c:ptCount val="12"/>
                <c:pt idx="0">
                  <c:v>66264</c:v>
                </c:pt>
                <c:pt idx="1">
                  <c:v>143647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1-4ED2-9AF0-F8D4D8237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32992"/>
        <c:axId val="175738880"/>
      </c:lineChart>
      <c:catAx>
        <c:axId val="1757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738880"/>
        <c:crosses val="autoZero"/>
        <c:auto val="1"/>
        <c:lblAlgn val="ctr"/>
        <c:lblOffset val="100"/>
        <c:noMultiLvlLbl val="0"/>
      </c:catAx>
      <c:valAx>
        <c:axId val="17573888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573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034002381002113"/>
          <c:w val="0.1263997152262924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'PC-sales-countries-Cumul-World'!$C$14:$N$14</c:f>
              <c:numCache>
                <c:formatCode>_-* #,##0\ _F_-;\-* #,##0\ _F_-;_-* "-"??\ _F_-;_-@_-</c:formatCode>
                <c:ptCount val="12"/>
                <c:pt idx="0">
                  <c:v>15674</c:v>
                </c:pt>
                <c:pt idx="1">
                  <c:v>31833</c:v>
                </c:pt>
                <c:pt idx="2">
                  <c:v>52553</c:v>
                </c:pt>
                <c:pt idx="3">
                  <c:v>68977</c:v>
                </c:pt>
                <c:pt idx="4">
                  <c:v>86143</c:v>
                </c:pt>
                <c:pt idx="5">
                  <c:v>108751</c:v>
                </c:pt>
                <c:pt idx="6">
                  <c:v>124847</c:v>
                </c:pt>
                <c:pt idx="7">
                  <c:v>142688</c:v>
                </c:pt>
                <c:pt idx="8">
                  <c:v>163482</c:v>
                </c:pt>
                <c:pt idx="9">
                  <c:v>179270</c:v>
                </c:pt>
                <c:pt idx="10">
                  <c:v>197648</c:v>
                </c:pt>
                <c:pt idx="11">
                  <c:v>215250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A9-403A-BFB2-E1A0F0EEF480}"/>
            </c:ext>
          </c:extLst>
        </c:ser>
        <c:ser>
          <c:idx val="1"/>
          <c:order val="1"/>
          <c:tx>
            <c:strRef>
              <c:f>'PC-sales-countries-Cumul-World'!$B$15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'PC-sales-countries-Cumul-World'!$C$15:$N$15</c:f>
              <c:numCache>
                <c:formatCode>_-* #,##0\ _F_-;\-* #,##0\ _F_-;_-* "-"??\ _F_-;_-@_-</c:formatCode>
                <c:ptCount val="12"/>
                <c:pt idx="0">
                  <c:v>18850</c:v>
                </c:pt>
                <c:pt idx="1">
                  <c:v>36745</c:v>
                </c:pt>
                <c:pt idx="2">
                  <c:v>63052</c:v>
                </c:pt>
                <c:pt idx="3">
                  <c:v>81556</c:v>
                </c:pt>
                <c:pt idx="4">
                  <c:v>102179</c:v>
                </c:pt>
                <c:pt idx="5">
                  <c:v>126690</c:v>
                </c:pt>
                <c:pt idx="6">
                  <c:v>146982</c:v>
                </c:pt>
                <c:pt idx="7">
                  <c:v>163185</c:v>
                </c:pt>
                <c:pt idx="8">
                  <c:v>182886</c:v>
                </c:pt>
                <c:pt idx="9">
                  <c:v>201753</c:v>
                </c:pt>
                <c:pt idx="10">
                  <c:v>220763</c:v>
                </c:pt>
                <c:pt idx="11">
                  <c:v>239150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6-4571-AB62-652E0E904C75}"/>
            </c:ext>
          </c:extLst>
        </c:ser>
        <c:ser>
          <c:idx val="2"/>
          <c:order val="2"/>
          <c:tx>
            <c:strRef>
              <c:f>'PC-sales-countries-Cumul-World'!$B$16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'PC-sales-countries-Cumul-World'!$C$16:$N$16</c:f>
              <c:numCache>
                <c:formatCode>_-* #,##0\ _F_-;\-* #,##0\ _F_-;_-* "-"??\ _F_-;_-@_-</c:formatCode>
                <c:ptCount val="12"/>
                <c:pt idx="0">
                  <c:v>17552</c:v>
                </c:pt>
                <c:pt idx="1">
                  <c:v>37562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6-4571-AB62-652E0E904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0192"/>
        <c:axId val="176041984"/>
      </c:lineChart>
      <c:catAx>
        <c:axId val="1760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041984"/>
        <c:crosses val="autoZero"/>
        <c:auto val="1"/>
        <c:lblAlgn val="ctr"/>
        <c:lblOffset val="100"/>
        <c:noMultiLvlLbl val="0"/>
      </c:catAx>
      <c:valAx>
        <c:axId val="17604198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04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324916282017"/>
          <c:y val="0.37875074083481503"/>
          <c:w val="0.12753735162994173"/>
          <c:h val="0.1956533455353585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'PC-sales-countries-World-123'!$B$28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'PC-sales-countries-World-123'!$C$28:$N$28</c:f>
              <c:numCache>
                <c:formatCode>_-* #,##0\ _F_-;\-* #,##0\ _F_-;_-* "-"??\ _F_-;_-@_-</c:formatCode>
                <c:ptCount val="12"/>
                <c:pt idx="0">
                  <c:v>14798</c:v>
                </c:pt>
                <c:pt idx="1">
                  <c:v>17365</c:v>
                </c:pt>
                <c:pt idx="2">
                  <c:v>25310</c:v>
                </c:pt>
                <c:pt idx="3">
                  <c:v>26935</c:v>
                </c:pt>
                <c:pt idx="4">
                  <c:v>26030</c:v>
                </c:pt>
                <c:pt idx="5">
                  <c:v>13410</c:v>
                </c:pt>
                <c:pt idx="6">
                  <c:v>26109</c:v>
                </c:pt>
                <c:pt idx="7">
                  <c:v>26750</c:v>
                </c:pt>
                <c:pt idx="8">
                  <c:v>22237</c:v>
                </c:pt>
                <c:pt idx="9">
                  <c:v>22457</c:v>
                </c:pt>
                <c:pt idx="10">
                  <c:v>20097</c:v>
                </c:pt>
                <c:pt idx="11">
                  <c:v>19674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1-44FA-B0EA-9E0EF0C6B5B8}"/>
            </c:ext>
          </c:extLst>
        </c:ser>
        <c:ser>
          <c:idx val="1"/>
          <c:order val="1"/>
          <c:tx>
            <c:strRef>
              <c:f>'PC-sales-countries-World-123'!$B$29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'PC-sales-countries-World-123'!$C$29:$N$29</c:f>
              <c:numCache>
                <c:formatCode>_-* #,##0\ _F_-;\-* #,##0\ _F_-;_-* "-"??\ _F_-;_-@_-</c:formatCode>
                <c:ptCount val="12"/>
                <c:pt idx="0">
                  <c:v>14282</c:v>
                </c:pt>
                <c:pt idx="1">
                  <c:v>14776</c:v>
                </c:pt>
                <c:pt idx="2">
                  <c:v>22828</c:v>
                </c:pt>
                <c:pt idx="3">
                  <c:v>20385</c:v>
                </c:pt>
                <c:pt idx="4">
                  <c:v>24485</c:v>
                </c:pt>
                <c:pt idx="5">
                  <c:v>27322</c:v>
                </c:pt>
                <c:pt idx="6">
                  <c:v>22028</c:v>
                </c:pt>
                <c:pt idx="7">
                  <c:v>24018</c:v>
                </c:pt>
                <c:pt idx="8">
                  <c:v>25687</c:v>
                </c:pt>
                <c:pt idx="9">
                  <c:v>23815</c:v>
                </c:pt>
                <c:pt idx="10">
                  <c:v>21582</c:v>
                </c:pt>
                <c:pt idx="11">
                  <c:v>21908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7-41E5-A3FD-95AEA16E2117}"/>
            </c:ext>
          </c:extLst>
        </c:ser>
        <c:ser>
          <c:idx val="2"/>
          <c:order val="2"/>
          <c:tx>
            <c:strRef>
              <c:f>'PC-sales-countries-World-123'!$B$30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'PC-sales-countries-World-123'!$C$30:$N$30</c:f>
              <c:numCache>
                <c:formatCode>_-* #,##0\ _F_-;\-* #,##0\ _F_-;_-* "-"??\ _F_-;_-@_-</c:formatCode>
                <c:ptCount val="12"/>
                <c:pt idx="0">
                  <c:v>16055</c:v>
                </c:pt>
                <c:pt idx="1">
                  <c:v>17716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7-41E5-A3FD-95AEA16E2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1104"/>
        <c:axId val="107313792"/>
      </c:lineChart>
      <c:catAx>
        <c:axId val="1073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313792"/>
        <c:crosses val="autoZero"/>
        <c:auto val="1"/>
        <c:lblAlgn val="ctr"/>
        <c:lblOffset val="100"/>
        <c:noMultiLvlLbl val="0"/>
      </c:catAx>
      <c:valAx>
        <c:axId val="10731379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31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236561610170083"/>
          <c:w val="0.12485939257592801"/>
          <c:h val="0.1929487477880379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'PC-sales-countries-Cumul-World'!$C$17:$N$17</c:f>
              <c:numCache>
                <c:formatCode>_-* #,##0\ _F_-;\-* #,##0\ _F_-;_-* "-"??\ _F_-;_-@_-</c:formatCode>
                <c:ptCount val="12"/>
                <c:pt idx="0">
                  <c:v>5161</c:v>
                </c:pt>
                <c:pt idx="1">
                  <c:v>9578</c:v>
                </c:pt>
                <c:pt idx="2">
                  <c:v>15374</c:v>
                </c:pt>
                <c:pt idx="3">
                  <c:v>20795</c:v>
                </c:pt>
                <c:pt idx="4">
                  <c:v>27213</c:v>
                </c:pt>
                <c:pt idx="5">
                  <c:v>33224</c:v>
                </c:pt>
                <c:pt idx="6">
                  <c:v>39224</c:v>
                </c:pt>
                <c:pt idx="7">
                  <c:v>43920</c:v>
                </c:pt>
                <c:pt idx="8">
                  <c:v>49428</c:v>
                </c:pt>
                <c:pt idx="9">
                  <c:v>54217</c:v>
                </c:pt>
                <c:pt idx="10">
                  <c:v>58898</c:v>
                </c:pt>
                <c:pt idx="11">
                  <c:v>63828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2-4DA4-855C-8FBDCD76BD23}"/>
            </c:ext>
          </c:extLst>
        </c:ser>
        <c:ser>
          <c:idx val="1"/>
          <c:order val="1"/>
          <c:tx>
            <c:strRef>
              <c:f>'PC-sales-countries-Cumul-World'!$B$18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'PC-sales-countries-Cumul-World'!$C$18:$N$18</c:f>
              <c:numCache>
                <c:formatCode>_-* #,##0\ _F_-;\-* #,##0\ _F_-;_-* "-"??\ _F_-;_-@_-</c:formatCode>
                <c:ptCount val="12"/>
                <c:pt idx="0">
                  <c:v>5184</c:v>
                </c:pt>
                <c:pt idx="1">
                  <c:v>10210</c:v>
                </c:pt>
                <c:pt idx="2">
                  <c:v>16799</c:v>
                </c:pt>
                <c:pt idx="3">
                  <c:v>22802</c:v>
                </c:pt>
                <c:pt idx="4">
                  <c:v>29639</c:v>
                </c:pt>
                <c:pt idx="5">
                  <c:v>36714</c:v>
                </c:pt>
                <c:pt idx="6">
                  <c:v>43214</c:v>
                </c:pt>
                <c:pt idx="7">
                  <c:v>48160</c:v>
                </c:pt>
                <c:pt idx="8">
                  <c:v>53541</c:v>
                </c:pt>
                <c:pt idx="9">
                  <c:v>59126</c:v>
                </c:pt>
                <c:pt idx="10">
                  <c:v>64673</c:v>
                </c:pt>
                <c:pt idx="11">
                  <c:v>69431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6-424A-92FF-91BC205AC4E2}"/>
            </c:ext>
          </c:extLst>
        </c:ser>
        <c:ser>
          <c:idx val="2"/>
          <c:order val="2"/>
          <c:tx>
            <c:strRef>
              <c:f>'PC-sales-countries-Cumul-World'!$B$19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'PC-sales-countries-Cumul-World'!$C$19:$N$19</c:f>
              <c:numCache>
                <c:formatCode>_-* #,##0\ _F_-;\-* #,##0\ _F_-;_-* "-"??\ _F_-;_-@_-</c:formatCode>
                <c:ptCount val="12"/>
                <c:pt idx="0">
                  <c:v>4480</c:v>
                </c:pt>
                <c:pt idx="1">
                  <c:v>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6-424A-92FF-91BC205A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152"/>
        <c:axId val="176099328"/>
      </c:lineChart>
      <c:catAx>
        <c:axId val="1760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099328"/>
        <c:crosses val="autoZero"/>
        <c:auto val="1"/>
        <c:lblAlgn val="ctr"/>
        <c:lblOffset val="100"/>
        <c:noMultiLvlLbl val="0"/>
      </c:catAx>
      <c:valAx>
        <c:axId val="17609932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08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600661028483"/>
          <c:y val="0.38236539876959824"/>
          <c:w val="0.12443946188340807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'PC-sales-countries-Cumul-World'!$B$20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'PC-sales-countries-Cumul-World'!$C$20:$N$20</c:f>
              <c:numCache>
                <c:formatCode>_-* #,##0\ _F_-;\-* #,##0\ _F_-;_-* "-"??\ _F_-;_-@_-</c:formatCode>
                <c:ptCount val="12"/>
                <c:pt idx="0">
                  <c:v>37247</c:v>
                </c:pt>
                <c:pt idx="1">
                  <c:v>73157</c:v>
                </c:pt>
                <c:pt idx="2">
                  <c:v>114493</c:v>
                </c:pt>
                <c:pt idx="3">
                  <c:v>146236</c:v>
                </c:pt>
                <c:pt idx="4">
                  <c:v>178795</c:v>
                </c:pt>
                <c:pt idx="5">
                  <c:v>217199</c:v>
                </c:pt>
                <c:pt idx="6">
                  <c:v>247081</c:v>
                </c:pt>
                <c:pt idx="7">
                  <c:v>278966</c:v>
                </c:pt>
                <c:pt idx="8">
                  <c:v>313563</c:v>
                </c:pt>
                <c:pt idx="9">
                  <c:v>347479</c:v>
                </c:pt>
                <c:pt idx="10">
                  <c:v>380692</c:v>
                </c:pt>
                <c:pt idx="11">
                  <c:v>408397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9-42DC-825E-B5153DCF1A58}"/>
            </c:ext>
          </c:extLst>
        </c:ser>
        <c:ser>
          <c:idx val="1"/>
          <c:order val="1"/>
          <c:tx>
            <c:strRef>
              <c:f>'PC-sales-countries-Cumul-World'!$B$21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'PC-sales-countries-Cumul-World'!$C$21:$N$21</c:f>
              <c:numCache>
                <c:formatCode>_-* #,##0\ _F_-;\-* #,##0\ _F_-;_-* "-"??\ _F_-;_-@_-</c:formatCode>
                <c:ptCount val="12"/>
                <c:pt idx="0">
                  <c:v>43573</c:v>
                </c:pt>
                <c:pt idx="1">
                  <c:v>87633</c:v>
                </c:pt>
                <c:pt idx="2">
                  <c:v>144633</c:v>
                </c:pt>
                <c:pt idx="3">
                  <c:v>188681</c:v>
                </c:pt>
                <c:pt idx="4">
                  <c:v>234442</c:v>
                </c:pt>
                <c:pt idx="5">
                  <c:v>290969</c:v>
                </c:pt>
                <c:pt idx="6">
                  <c:v>330138</c:v>
                </c:pt>
                <c:pt idx="7">
                  <c:v>370087</c:v>
                </c:pt>
                <c:pt idx="8">
                  <c:v>412872</c:v>
                </c:pt>
                <c:pt idx="9">
                  <c:v>455600</c:v>
                </c:pt>
                <c:pt idx="10">
                  <c:v>496790</c:v>
                </c:pt>
                <c:pt idx="11">
                  <c:v>525853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A-488E-8189-7EA495591871}"/>
            </c:ext>
          </c:extLst>
        </c:ser>
        <c:ser>
          <c:idx val="2"/>
          <c:order val="2"/>
          <c:tx>
            <c:strRef>
              <c:f>'PC-sales-countries-Cumul-World'!$B$22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'PC-sales-countries-Cumul-World'!$C$22:$N$22</c:f>
              <c:numCache>
                <c:formatCode>_-* #,##0\ _F_-;\-* #,##0\ _F_-;_-* "-"??\ _F_-;_-@_-</c:formatCode>
                <c:ptCount val="12"/>
                <c:pt idx="0">
                  <c:v>50508</c:v>
                </c:pt>
                <c:pt idx="1">
                  <c:v>98749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A-488E-8189-7EA49559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18016"/>
        <c:axId val="176119808"/>
      </c:lineChart>
      <c:catAx>
        <c:axId val="1761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19808"/>
        <c:crosses val="autoZero"/>
        <c:auto val="1"/>
        <c:lblAlgn val="ctr"/>
        <c:lblOffset val="100"/>
        <c:noMultiLvlLbl val="0"/>
      </c:catAx>
      <c:valAx>
        <c:axId val="17611980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1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034009046741502"/>
          <c:w val="0.12639971522629243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'PC-sales-countries-Cumul-World'!$B$23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'PC-sales-countries-Cumul-World'!$C$23:$N$23</c:f>
              <c:numCache>
                <c:formatCode>_-* #,##0\ _F_-;\-* #,##0\ _F_-;_-* "-"??\ _F_-;_-@_-</c:formatCode>
                <c:ptCount val="12"/>
                <c:pt idx="0">
                  <c:v>92212</c:v>
                </c:pt>
                <c:pt idx="1">
                  <c:v>189802</c:v>
                </c:pt>
                <c:pt idx="2">
                  <c:v>298074</c:v>
                </c:pt>
                <c:pt idx="3">
                  <c:v>407781</c:v>
                </c:pt>
                <c:pt idx="4">
                  <c:v>547264</c:v>
                </c:pt>
                <c:pt idx="5">
                  <c:v>680851</c:v>
                </c:pt>
                <c:pt idx="6">
                  <c:v>816282</c:v>
                </c:pt>
                <c:pt idx="7">
                  <c:v>971229</c:v>
                </c:pt>
                <c:pt idx="8">
                  <c:v>1114439</c:v>
                </c:pt>
                <c:pt idx="9">
                  <c:v>1251442</c:v>
                </c:pt>
                <c:pt idx="10">
                  <c:v>1410208</c:v>
                </c:pt>
                <c:pt idx="11">
                  <c:v>1574492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6-44F1-BC2C-C539B9DDFA2B}"/>
            </c:ext>
          </c:extLst>
        </c:ser>
        <c:ser>
          <c:idx val="1"/>
          <c:order val="1"/>
          <c:tx>
            <c:strRef>
              <c:f>'PC-sales-countries-Cumul-World'!$B$24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'PC-sales-countries-Cumul-World'!$C$24:$N$24</c:f>
              <c:numCache>
                <c:formatCode>_-* #,##0\ _F_-;\-* #,##0\ _F_-;_-* "-"??\ _F_-;_-@_-</c:formatCode>
                <c:ptCount val="12"/>
                <c:pt idx="0">
                  <c:v>103872</c:v>
                </c:pt>
                <c:pt idx="1">
                  <c:v>199739</c:v>
                </c:pt>
                <c:pt idx="2">
                  <c:v>345913</c:v>
                </c:pt>
                <c:pt idx="3">
                  <c:v>464040</c:v>
                </c:pt>
                <c:pt idx="4">
                  <c:v>591548</c:v>
                </c:pt>
                <c:pt idx="5">
                  <c:v>733766</c:v>
                </c:pt>
                <c:pt idx="6">
                  <c:v>910508</c:v>
                </c:pt>
                <c:pt idx="7">
                  <c:v>1063986</c:v>
                </c:pt>
                <c:pt idx="8">
                  <c:v>1209752</c:v>
                </c:pt>
                <c:pt idx="9">
                  <c:v>1372886</c:v>
                </c:pt>
                <c:pt idx="10">
                  <c:v>1533579</c:v>
                </c:pt>
                <c:pt idx="11">
                  <c:v>1720157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6A-46A1-8FD1-A87703153F5D}"/>
            </c:ext>
          </c:extLst>
        </c:ser>
        <c:ser>
          <c:idx val="2"/>
          <c:order val="2"/>
          <c:tx>
            <c:strRef>
              <c:f>'PC-sales-countries-Cumul-World'!$B$25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'PC-sales-countries-Cumul-World'!$C$25:$N$25</c:f>
              <c:numCache>
                <c:formatCode>_-* #,##0\ _F_-;\-* #,##0\ _F_-;_-* "-"??\ _F_-;_-@_-</c:formatCode>
                <c:ptCount val="12"/>
                <c:pt idx="0">
                  <c:v>118503</c:v>
                </c:pt>
                <c:pt idx="1">
                  <c:v>238818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6A-46A1-8FD1-A8770315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55264"/>
        <c:axId val="176165248"/>
      </c:lineChart>
      <c:catAx>
        <c:axId val="1761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65248"/>
        <c:crosses val="autoZero"/>
        <c:auto val="1"/>
        <c:lblAlgn val="ctr"/>
        <c:lblOffset val="100"/>
        <c:noMultiLvlLbl val="0"/>
      </c:catAx>
      <c:valAx>
        <c:axId val="17616524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5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112036786958359"/>
          <c:w val="0.1273179220273688"/>
          <c:h val="0.1924393493922639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'PC-sales-countries-Cumul-World'!$B$26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'PC-sales-countries-Cumul-World'!$C$26:$N$26</c:f>
              <c:numCache>
                <c:formatCode>_-* #,##0\ _F_-;\-* #,##0\ _F_-;_-* "-"??\ _F_-;_-@_-</c:formatCode>
                <c:ptCount val="12"/>
                <c:pt idx="0">
                  <c:v>2034</c:v>
                </c:pt>
                <c:pt idx="1">
                  <c:v>3967</c:v>
                </c:pt>
                <c:pt idx="2">
                  <c:v>6674</c:v>
                </c:pt>
                <c:pt idx="3">
                  <c:v>9031</c:v>
                </c:pt>
                <c:pt idx="4">
                  <c:v>11726</c:v>
                </c:pt>
                <c:pt idx="5">
                  <c:v>14549</c:v>
                </c:pt>
                <c:pt idx="6">
                  <c:v>17385</c:v>
                </c:pt>
                <c:pt idx="7">
                  <c:v>19859</c:v>
                </c:pt>
                <c:pt idx="8">
                  <c:v>21975</c:v>
                </c:pt>
                <c:pt idx="9">
                  <c:v>24363</c:v>
                </c:pt>
                <c:pt idx="10">
                  <c:v>26674</c:v>
                </c:pt>
                <c:pt idx="11">
                  <c:v>28683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3-4ACF-8465-5EB7985F8490}"/>
            </c:ext>
          </c:extLst>
        </c:ser>
        <c:ser>
          <c:idx val="1"/>
          <c:order val="1"/>
          <c:tx>
            <c:strRef>
              <c:f>'PC-sales-countries-Cumul-World'!$B$27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'PC-sales-countries-Cumul-World'!$C$27:$N$27</c:f>
              <c:numCache>
                <c:formatCode>_-* #,##0\ _F_-;\-* #,##0\ _F_-;_-* "-"??\ _F_-;_-@_-</c:formatCode>
                <c:ptCount val="12"/>
                <c:pt idx="0">
                  <c:v>2513</c:v>
                </c:pt>
                <c:pt idx="1">
                  <c:v>5101</c:v>
                </c:pt>
                <c:pt idx="2">
                  <c:v>7856</c:v>
                </c:pt>
                <c:pt idx="3">
                  <c:v>10694</c:v>
                </c:pt>
                <c:pt idx="4">
                  <c:v>13829</c:v>
                </c:pt>
                <c:pt idx="5">
                  <c:v>17633</c:v>
                </c:pt>
                <c:pt idx="6">
                  <c:v>20992</c:v>
                </c:pt>
                <c:pt idx="7">
                  <c:v>24406</c:v>
                </c:pt>
                <c:pt idx="8">
                  <c:v>27382</c:v>
                </c:pt>
                <c:pt idx="9">
                  <c:v>31157</c:v>
                </c:pt>
                <c:pt idx="10">
                  <c:v>34698</c:v>
                </c:pt>
                <c:pt idx="11">
                  <c:v>37724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C-4883-A451-BCDC0D6BE873}"/>
            </c:ext>
          </c:extLst>
        </c:ser>
        <c:ser>
          <c:idx val="2"/>
          <c:order val="2"/>
          <c:tx>
            <c:strRef>
              <c:f>'PC-sales-countries-Cumul-World'!$B$28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'PC-sales-countries-Cumul-World'!$C$28:$N$28</c:f>
              <c:numCache>
                <c:formatCode>_-* #,##0\ _F_-;\-* #,##0\ _F_-;_-* "-"??\ _F_-;_-@_-</c:formatCode>
                <c:ptCount val="12"/>
                <c:pt idx="0">
                  <c:v>3982</c:v>
                </c:pt>
                <c:pt idx="1">
                  <c:v>7589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C-4883-A451-BCDC0D6BE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92128"/>
        <c:axId val="176206208"/>
      </c:lineChart>
      <c:catAx>
        <c:axId val="1761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206208"/>
        <c:crosses val="autoZero"/>
        <c:auto val="1"/>
        <c:lblAlgn val="ctr"/>
        <c:lblOffset val="100"/>
        <c:noMultiLvlLbl val="0"/>
      </c:catAx>
      <c:valAx>
        <c:axId val="17620620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19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112036786958359"/>
          <c:w val="0.12485939257592801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'PC-sales-countries-Cumul-World'!$B$29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'PC-sales-countries-Cumul-World'!$C$29:$N$29</c:f>
              <c:numCache>
                <c:formatCode>_-* #,##0\ _F_-;\-* #,##0\ _F_-;_-* "-"??\ _F_-;_-@_-</c:formatCode>
                <c:ptCount val="12"/>
                <c:pt idx="0">
                  <c:v>14798</c:v>
                </c:pt>
                <c:pt idx="1">
                  <c:v>32163</c:v>
                </c:pt>
                <c:pt idx="2">
                  <c:v>57473</c:v>
                </c:pt>
                <c:pt idx="3">
                  <c:v>84408</c:v>
                </c:pt>
                <c:pt idx="4">
                  <c:v>110438</c:v>
                </c:pt>
                <c:pt idx="5">
                  <c:v>123848</c:v>
                </c:pt>
                <c:pt idx="6">
                  <c:v>149957</c:v>
                </c:pt>
                <c:pt idx="7">
                  <c:v>176707</c:v>
                </c:pt>
                <c:pt idx="8">
                  <c:v>198944</c:v>
                </c:pt>
                <c:pt idx="9">
                  <c:v>221401</c:v>
                </c:pt>
                <c:pt idx="10">
                  <c:v>241498</c:v>
                </c:pt>
                <c:pt idx="11">
                  <c:v>261172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2-449D-BDAD-052C7B0CA745}"/>
            </c:ext>
          </c:extLst>
        </c:ser>
        <c:ser>
          <c:idx val="1"/>
          <c:order val="1"/>
          <c:tx>
            <c:strRef>
              <c:f>'PC-sales-countries-Cumul-World'!$B$30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'PC-sales-countries-Cumul-World'!$C$30:$N$30</c:f>
              <c:numCache>
                <c:formatCode>_-* #,##0\ _F_-;\-* #,##0\ _F_-;_-* "-"??\ _F_-;_-@_-</c:formatCode>
                <c:ptCount val="12"/>
                <c:pt idx="0">
                  <c:v>14282</c:v>
                </c:pt>
                <c:pt idx="1">
                  <c:v>29058</c:v>
                </c:pt>
                <c:pt idx="2">
                  <c:v>51886</c:v>
                </c:pt>
                <c:pt idx="3">
                  <c:v>72271</c:v>
                </c:pt>
                <c:pt idx="4">
                  <c:v>96756</c:v>
                </c:pt>
                <c:pt idx="5">
                  <c:v>124078</c:v>
                </c:pt>
                <c:pt idx="6">
                  <c:v>146106</c:v>
                </c:pt>
                <c:pt idx="7">
                  <c:v>170124</c:v>
                </c:pt>
                <c:pt idx="8">
                  <c:v>195811</c:v>
                </c:pt>
                <c:pt idx="9">
                  <c:v>219626</c:v>
                </c:pt>
                <c:pt idx="10">
                  <c:v>241208</c:v>
                </c:pt>
                <c:pt idx="11">
                  <c:v>263116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18-46F1-A8A4-D106A42492EA}"/>
            </c:ext>
          </c:extLst>
        </c:ser>
        <c:ser>
          <c:idx val="2"/>
          <c:order val="2"/>
          <c:tx>
            <c:strRef>
              <c:f>'PC-sales-countries-Cumul-World'!$B$31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'PC-sales-countries-Cumul-World'!$C$31:$N$31</c:f>
              <c:numCache>
                <c:formatCode>_-* #,##0\ _F_-;\-* #,##0\ _F_-;_-* "-"??\ _F_-;_-@_-</c:formatCode>
                <c:ptCount val="12"/>
                <c:pt idx="0">
                  <c:v>16055</c:v>
                </c:pt>
                <c:pt idx="1">
                  <c:v>33771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8-46F1-A8A4-D106A4249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96480"/>
        <c:axId val="220598272"/>
      </c:lineChart>
      <c:catAx>
        <c:axId val="2205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598272"/>
        <c:crosses val="autoZero"/>
        <c:auto val="1"/>
        <c:lblAlgn val="ctr"/>
        <c:lblOffset val="100"/>
        <c:noMultiLvlLbl val="0"/>
      </c:catAx>
      <c:valAx>
        <c:axId val="22059827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59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2618417949178129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'PC-sales-countries-Cumul-World'!$B$35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'PC-sales-countries-Cumul-World'!$C$35:$N$35</c:f>
              <c:numCache>
                <c:formatCode>_-* #,##0\ _F_-;\-* #,##0\ _F_-;_-* "-"??\ _F_-;_-@_-</c:formatCode>
                <c:ptCount val="12"/>
                <c:pt idx="0">
                  <c:v>16263</c:v>
                </c:pt>
                <c:pt idx="1">
                  <c:v>30488</c:v>
                </c:pt>
                <c:pt idx="2">
                  <c:v>47391</c:v>
                </c:pt>
                <c:pt idx="3">
                  <c:v>62105</c:v>
                </c:pt>
                <c:pt idx="4">
                  <c:v>80178</c:v>
                </c:pt>
                <c:pt idx="5">
                  <c:v>98916</c:v>
                </c:pt>
                <c:pt idx="6">
                  <c:v>112364</c:v>
                </c:pt>
                <c:pt idx="7">
                  <c:v>128945</c:v>
                </c:pt>
                <c:pt idx="8">
                  <c:v>143843</c:v>
                </c:pt>
                <c:pt idx="9">
                  <c:v>160126</c:v>
                </c:pt>
                <c:pt idx="10">
                  <c:v>177534</c:v>
                </c:pt>
                <c:pt idx="11">
                  <c:v>192087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5-46B6-8A1F-47B4202E8212}"/>
            </c:ext>
          </c:extLst>
        </c:ser>
        <c:ser>
          <c:idx val="1"/>
          <c:order val="1"/>
          <c:tx>
            <c:strRef>
              <c:f>'PC-sales-countries-Cumul-World'!$B$36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'PC-sales-countries-Cumul-World'!$C$36:$N$36</c:f>
              <c:numCache>
                <c:formatCode>_-* #,##0\ _F_-;\-* #,##0\ _F_-;_-* "-"??\ _F_-;_-@_-</c:formatCode>
                <c:ptCount val="12"/>
                <c:pt idx="0">
                  <c:v>17137</c:v>
                </c:pt>
                <c:pt idx="1">
                  <c:v>33963</c:v>
                </c:pt>
                <c:pt idx="2">
                  <c:v>56341</c:v>
                </c:pt>
                <c:pt idx="3">
                  <c:v>74770</c:v>
                </c:pt>
                <c:pt idx="4">
                  <c:v>95068</c:v>
                </c:pt>
                <c:pt idx="5">
                  <c:v>115548</c:v>
                </c:pt>
                <c:pt idx="6">
                  <c:v>132899</c:v>
                </c:pt>
                <c:pt idx="7">
                  <c:v>150356</c:v>
                </c:pt>
                <c:pt idx="8">
                  <c:v>167564</c:v>
                </c:pt>
                <c:pt idx="9">
                  <c:v>186886</c:v>
                </c:pt>
                <c:pt idx="10">
                  <c:v>206297</c:v>
                </c:pt>
                <c:pt idx="11">
                  <c:v>221422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8-475E-A320-0DF7915E1752}"/>
            </c:ext>
          </c:extLst>
        </c:ser>
        <c:ser>
          <c:idx val="2"/>
          <c:order val="2"/>
          <c:tx>
            <c:strRef>
              <c:f>'PC-sales-countries-Cumul-World'!$B$37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'PC-sales-countries-Cumul-World'!$C$37:$N$37</c:f>
              <c:numCache>
                <c:formatCode>_-* #,##0\ _F_-;\-* #,##0\ _F_-;_-* "-"??\ _F_-;_-@_-</c:formatCode>
                <c:ptCount val="12"/>
                <c:pt idx="0">
                  <c:v>20361</c:v>
                </c:pt>
                <c:pt idx="1">
                  <c:v>38689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8-475E-A320-0DF7915E1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25152"/>
        <c:axId val="220635136"/>
      </c:lineChart>
      <c:catAx>
        <c:axId val="2206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635136"/>
        <c:crosses val="autoZero"/>
        <c:auto val="1"/>
        <c:lblAlgn val="ctr"/>
        <c:lblOffset val="100"/>
        <c:noMultiLvlLbl val="0"/>
      </c:catAx>
      <c:valAx>
        <c:axId val="22063513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62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034009046741502"/>
          <c:w val="0.12485939257592801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'PC-sales-countries-Cumul-World'!$B$38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'PC-sales-countries-Cumul-World'!$C$38:$N$38</c:f>
              <c:numCache>
                <c:formatCode>_-* #,##0\ _F_-;\-* #,##0\ _F_-;_-* "-"??\ _F_-;_-@_-</c:formatCode>
                <c:ptCount val="12"/>
                <c:pt idx="0">
                  <c:v>25245</c:v>
                </c:pt>
                <c:pt idx="1">
                  <c:v>49900</c:v>
                </c:pt>
                <c:pt idx="2">
                  <c:v>88298</c:v>
                </c:pt>
                <c:pt idx="3">
                  <c:v>115475</c:v>
                </c:pt>
                <c:pt idx="4">
                  <c:v>148450</c:v>
                </c:pt>
                <c:pt idx="5">
                  <c:v>185496</c:v>
                </c:pt>
                <c:pt idx="6">
                  <c:v>208115</c:v>
                </c:pt>
                <c:pt idx="7">
                  <c:v>240340</c:v>
                </c:pt>
                <c:pt idx="8">
                  <c:v>274790</c:v>
                </c:pt>
                <c:pt idx="9">
                  <c:v>304394</c:v>
                </c:pt>
                <c:pt idx="10">
                  <c:v>343420</c:v>
                </c:pt>
                <c:pt idx="11">
                  <c:v>404322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8-4F41-BE64-9CABA39DCF96}"/>
            </c:ext>
          </c:extLst>
        </c:ser>
        <c:ser>
          <c:idx val="1"/>
          <c:order val="1"/>
          <c:tx>
            <c:strRef>
              <c:f>'PC-sales-countries-Cumul-World'!$B$39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'PC-sales-countries-Cumul-World'!$C$39:$N$39</c:f>
              <c:numCache>
                <c:formatCode>_-* #,##0\ _F_-;\-* #,##0\ _F_-;_-* "-"??\ _F_-;_-@_-</c:formatCode>
                <c:ptCount val="12"/>
                <c:pt idx="0">
                  <c:v>19483</c:v>
                </c:pt>
                <c:pt idx="1">
                  <c:v>44588</c:v>
                </c:pt>
                <c:pt idx="2">
                  <c:v>89636</c:v>
                </c:pt>
                <c:pt idx="3">
                  <c:v>117982</c:v>
                </c:pt>
                <c:pt idx="4">
                  <c:v>173821</c:v>
                </c:pt>
                <c:pt idx="5">
                  <c:v>236334</c:v>
                </c:pt>
                <c:pt idx="6">
                  <c:v>261487</c:v>
                </c:pt>
                <c:pt idx="7">
                  <c:v>293900</c:v>
                </c:pt>
                <c:pt idx="8">
                  <c:v>326674</c:v>
                </c:pt>
                <c:pt idx="9">
                  <c:v>355262</c:v>
                </c:pt>
                <c:pt idx="10">
                  <c:v>388635</c:v>
                </c:pt>
                <c:pt idx="11">
                  <c:v>425802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9-494B-929B-6948FF91CE7F}"/>
            </c:ext>
          </c:extLst>
        </c:ser>
        <c:ser>
          <c:idx val="2"/>
          <c:order val="2"/>
          <c:tx>
            <c:strRef>
              <c:f>'PC-sales-countries-Cumul-World'!$B$40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'PC-sales-countries-Cumul-World'!$C$40:$N$40</c:f>
              <c:numCache>
                <c:formatCode>_-* #,##0\ _F_-;\-* #,##0\ _F_-;_-* "-"??\ _F_-;_-@_-</c:formatCode>
                <c:ptCount val="12"/>
                <c:pt idx="0">
                  <c:v>20559</c:v>
                </c:pt>
                <c:pt idx="1">
                  <c:v>44544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9-494B-929B-6948FF91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07200"/>
        <c:axId val="221913088"/>
      </c:lineChart>
      <c:catAx>
        <c:axId val="2219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913088"/>
        <c:crosses val="autoZero"/>
        <c:auto val="1"/>
        <c:lblAlgn val="ctr"/>
        <c:lblOffset val="100"/>
        <c:noMultiLvlLbl val="0"/>
      </c:catAx>
      <c:valAx>
        <c:axId val="2219130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90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236539876959824"/>
          <c:w val="0.1263997152262924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'PC-sales-countries-Cumul-World'!$B$41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'PC-sales-countries-Cumul-World'!$C$41:$N$41</c:f>
              <c:numCache>
                <c:formatCode>_-* #,##0\ _F_-;\-* #,##0\ _F_-;_-* "-"??\ _F_-;_-@_-</c:formatCode>
                <c:ptCount val="12"/>
                <c:pt idx="0">
                  <c:v>102906</c:v>
                </c:pt>
                <c:pt idx="1">
                  <c:v>218309</c:v>
                </c:pt>
                <c:pt idx="2">
                  <c:v>365407</c:v>
                </c:pt>
                <c:pt idx="3">
                  <c:v>474140</c:v>
                </c:pt>
                <c:pt idx="4">
                  <c:v>600959</c:v>
                </c:pt>
                <c:pt idx="5">
                  <c:v>772071</c:v>
                </c:pt>
                <c:pt idx="6">
                  <c:v>879622</c:v>
                </c:pt>
                <c:pt idx="7">
                  <c:v>971033</c:v>
                </c:pt>
                <c:pt idx="8">
                  <c:v>1112188</c:v>
                </c:pt>
                <c:pt idx="9">
                  <c:v>1237186</c:v>
                </c:pt>
                <c:pt idx="10">
                  <c:v>1371156</c:v>
                </c:pt>
                <c:pt idx="11">
                  <c:v>1529183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F4-4B42-BD1A-CFDC30A7588E}"/>
            </c:ext>
          </c:extLst>
        </c:ser>
        <c:ser>
          <c:idx val="1"/>
          <c:order val="1"/>
          <c:tx>
            <c:strRef>
              <c:f>'PC-sales-countries-Cumul-World'!$B$42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'PC-sales-countries-Cumul-World'!$C$42:$N$42</c:f>
              <c:numCache>
                <c:formatCode>_-* #,##0\ _F_-;\-* #,##0\ _F_-;_-* "-"??\ _F_-;_-@_-</c:formatCode>
                <c:ptCount val="12"/>
                <c:pt idx="0">
                  <c:v>111976</c:v>
                </c:pt>
                <c:pt idx="1">
                  <c:v>238175</c:v>
                </c:pt>
                <c:pt idx="2">
                  <c:v>420904</c:v>
                </c:pt>
                <c:pt idx="3">
                  <c:v>553414</c:v>
                </c:pt>
                <c:pt idx="4">
                  <c:v>698952</c:v>
                </c:pt>
                <c:pt idx="5">
                  <c:v>889806</c:v>
                </c:pt>
                <c:pt idx="6">
                  <c:v>1048528</c:v>
                </c:pt>
                <c:pt idx="7">
                  <c:v>1132321</c:v>
                </c:pt>
                <c:pt idx="8">
                  <c:v>1288624</c:v>
                </c:pt>
                <c:pt idx="9">
                  <c:v>1441045</c:v>
                </c:pt>
                <c:pt idx="10">
                  <c:v>1593762</c:v>
                </c:pt>
                <c:pt idx="11">
                  <c:v>1774772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6-45A3-8F69-FAEA02DE1053}"/>
            </c:ext>
          </c:extLst>
        </c:ser>
        <c:ser>
          <c:idx val="2"/>
          <c:order val="2"/>
          <c:tx>
            <c:strRef>
              <c:f>'PC-sales-countries-Cumul-World'!$B$43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'PC-sales-countries-Cumul-World'!$C$43:$N$43</c:f>
              <c:numCache>
                <c:formatCode>_-* #,##0\ _F_-;\-* #,##0\ _F_-;_-* "-"??\ _F_-;_-@_-</c:formatCode>
                <c:ptCount val="12"/>
                <c:pt idx="0">
                  <c:v>122290</c:v>
                </c:pt>
                <c:pt idx="1">
                  <c:v>264892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6-45A3-8F69-FAEA02DE1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76832"/>
        <c:axId val="221982720"/>
      </c:lineChart>
      <c:catAx>
        <c:axId val="2219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982720"/>
        <c:crosses val="autoZero"/>
        <c:auto val="1"/>
        <c:lblAlgn val="ctr"/>
        <c:lblOffset val="100"/>
        <c:noMultiLvlLbl val="0"/>
      </c:catAx>
      <c:valAx>
        <c:axId val="2219827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97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236539876959824"/>
          <c:w val="0.12726924324364586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'PC-sales-countries-Cumul-World'!$B$44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'PC-sales-countries-Cumul-World'!$C$44:$N$44</c:f>
              <c:numCache>
                <c:formatCode>_-* #,##0\ _F_-;\-* #,##0\ _F_-;_-* "-"??\ _F_-;_-@_-</c:formatCode>
                <c:ptCount val="12"/>
                <c:pt idx="0">
                  <c:v>184112</c:v>
                </c:pt>
                <c:pt idx="1">
                  <c:v>384624</c:v>
                </c:pt>
                <c:pt idx="2">
                  <c:v>625954</c:v>
                </c:pt>
                <c:pt idx="3">
                  <c:v>806218</c:v>
                </c:pt>
                <c:pt idx="4">
                  <c:v>1013417</c:v>
                </c:pt>
                <c:pt idx="5">
                  <c:v>1237975</c:v>
                </c:pt>
                <c:pt idx="6">
                  <c:v>1443886</c:v>
                </c:pt>
                <c:pt idx="7">
                  <c:v>1643069</c:v>
                </c:pt>
                <c:pt idx="8">
                  <c:v>1867885</c:v>
                </c:pt>
                <c:pt idx="9">
                  <c:v>2076527</c:v>
                </c:pt>
                <c:pt idx="10">
                  <c:v>2337039</c:v>
                </c:pt>
                <c:pt idx="11">
                  <c:v>2651357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7-4888-811D-BA1D53875BA0}"/>
            </c:ext>
          </c:extLst>
        </c:ser>
        <c:ser>
          <c:idx val="1"/>
          <c:order val="1"/>
          <c:tx>
            <c:strRef>
              <c:f>'PC-sales-countries-Cumul-World'!$B$45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'PC-sales-countries-Cumul-World'!$C$45:$N$45</c:f>
              <c:numCache>
                <c:formatCode>_-* #,##0\ _F_-;\-* #,##0\ _F_-;_-* "-"??\ _F_-;_-@_-</c:formatCode>
                <c:ptCount val="12"/>
                <c:pt idx="0">
                  <c:v>179247</c:v>
                </c:pt>
                <c:pt idx="1">
                  <c:v>385457</c:v>
                </c:pt>
                <c:pt idx="2">
                  <c:v>666818</c:v>
                </c:pt>
                <c:pt idx="3">
                  <c:v>869765</c:v>
                </c:pt>
                <c:pt idx="4">
                  <c:v>1116731</c:v>
                </c:pt>
                <c:pt idx="5">
                  <c:v>1396870</c:v>
                </c:pt>
                <c:pt idx="6">
                  <c:v>1640147</c:v>
                </c:pt>
                <c:pt idx="7">
                  <c:v>1913564</c:v>
                </c:pt>
                <c:pt idx="8">
                  <c:v>2138066</c:v>
                </c:pt>
                <c:pt idx="9">
                  <c:v>2357025</c:v>
                </c:pt>
                <c:pt idx="10">
                  <c:v>2602726</c:v>
                </c:pt>
                <c:pt idx="11">
                  <c:v>2844609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4-4AE7-A838-401321FA65CA}"/>
            </c:ext>
          </c:extLst>
        </c:ser>
        <c:ser>
          <c:idx val="2"/>
          <c:order val="2"/>
          <c:tx>
            <c:strRef>
              <c:f>'PC-sales-countries-Cumul-World'!$B$46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'PC-sales-countries-Cumul-World'!$C$46:$N$46</c:f>
              <c:numCache>
                <c:formatCode>_-* #,##0\ _F_-;\-* #,##0\ _F_-;_-* "-"??\ _F_-;_-@_-</c:formatCode>
                <c:ptCount val="12"/>
                <c:pt idx="0">
                  <c:v>213553</c:v>
                </c:pt>
                <c:pt idx="1">
                  <c:v>430941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4-4AE7-A838-401321FA6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13696"/>
        <c:axId val="222023680"/>
      </c:lineChart>
      <c:catAx>
        <c:axId val="2220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023680"/>
        <c:crosses val="autoZero"/>
        <c:auto val="1"/>
        <c:lblAlgn val="ctr"/>
        <c:lblOffset val="100"/>
        <c:noMultiLvlLbl val="0"/>
      </c:catAx>
      <c:valAx>
        <c:axId val="22202368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01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600661028483"/>
          <c:y val="0.38034002381002113"/>
          <c:w val="0.12464907355418305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'PC-sales-countries-Cumul-World'!$B$47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'PC-sales-countries-Cumul-World'!$C$47:$N$47</c:f>
              <c:numCache>
                <c:formatCode>_-* #,##0\ _F_-;\-* #,##0\ _F_-;_-* "-"??\ _F_-;_-@_-</c:formatCode>
                <c:ptCount val="12"/>
                <c:pt idx="0">
                  <c:v>5521</c:v>
                </c:pt>
                <c:pt idx="1">
                  <c:v>14072</c:v>
                </c:pt>
                <c:pt idx="2">
                  <c:v>22427</c:v>
                </c:pt>
                <c:pt idx="3">
                  <c:v>31716</c:v>
                </c:pt>
                <c:pt idx="4">
                  <c:v>43707</c:v>
                </c:pt>
                <c:pt idx="5">
                  <c:v>54798</c:v>
                </c:pt>
                <c:pt idx="6">
                  <c:v>65672</c:v>
                </c:pt>
                <c:pt idx="7">
                  <c:v>74330</c:v>
                </c:pt>
                <c:pt idx="8">
                  <c:v>82936</c:v>
                </c:pt>
                <c:pt idx="9">
                  <c:v>90726</c:v>
                </c:pt>
                <c:pt idx="10">
                  <c:v>98797</c:v>
                </c:pt>
                <c:pt idx="11">
                  <c:v>105283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1-40E0-9276-26F9F299E1D7}"/>
            </c:ext>
          </c:extLst>
        </c:ser>
        <c:ser>
          <c:idx val="1"/>
          <c:order val="1"/>
          <c:tx>
            <c:strRef>
              <c:f>'PC-sales-countries-Cumul-World'!$B$48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'PC-sales-countries-Cumul-World'!$C$48:$N$48</c:f>
              <c:numCache>
                <c:formatCode>_-* #,##0\ _F_-;\-* #,##0\ _F_-;_-* "-"??\ _F_-;_-@_-</c:formatCode>
                <c:ptCount val="12"/>
                <c:pt idx="0">
                  <c:v>10532</c:v>
                </c:pt>
                <c:pt idx="1">
                  <c:v>20488</c:v>
                </c:pt>
                <c:pt idx="2">
                  <c:v>33772</c:v>
                </c:pt>
                <c:pt idx="3">
                  <c:v>44011</c:v>
                </c:pt>
                <c:pt idx="4">
                  <c:v>56968</c:v>
                </c:pt>
                <c:pt idx="5">
                  <c:v>70362</c:v>
                </c:pt>
                <c:pt idx="6">
                  <c:v>82742</c:v>
                </c:pt>
                <c:pt idx="7">
                  <c:v>93110</c:v>
                </c:pt>
                <c:pt idx="8">
                  <c:v>104510</c:v>
                </c:pt>
                <c:pt idx="9">
                  <c:v>115792</c:v>
                </c:pt>
                <c:pt idx="10">
                  <c:v>126244</c:v>
                </c:pt>
                <c:pt idx="11">
                  <c:v>134484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6-4F55-9A3E-EEB09230C3C4}"/>
            </c:ext>
          </c:extLst>
        </c:ser>
        <c:ser>
          <c:idx val="2"/>
          <c:order val="2"/>
          <c:tx>
            <c:strRef>
              <c:f>'PC-sales-countries-Cumul-World'!$B$49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'PC-sales-countries-Cumul-World'!$C$49:$N$49</c:f>
              <c:numCache>
                <c:formatCode>_-* #,##0\ _F_-;\-* #,##0\ _F_-;_-* "-"??\ _F_-;_-@_-</c:formatCode>
                <c:ptCount val="12"/>
                <c:pt idx="0">
                  <c:v>12752</c:v>
                </c:pt>
                <c:pt idx="1">
                  <c:v>24213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6-4F55-9A3E-EEB09230C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03808"/>
        <c:axId val="222105600"/>
      </c:lineChart>
      <c:catAx>
        <c:axId val="2221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105600"/>
        <c:crosses val="autoZero"/>
        <c:auto val="1"/>
        <c:lblAlgn val="ctr"/>
        <c:lblOffset val="100"/>
        <c:noMultiLvlLbl val="0"/>
      </c:catAx>
      <c:valAx>
        <c:axId val="22210560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1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877755006651"/>
          <c:y val="0.38034002381002113"/>
          <c:w val="0.12661598853567088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'PC-sales-countries-World-123'!$B$34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'PC-sales-countries-World-123'!$C$34:$N$34</c:f>
              <c:numCache>
                <c:formatCode>_-* #,##0\ _F_-;\-* #,##0\ _F_-;_-* "-"??\ _F_-;_-@_-</c:formatCode>
                <c:ptCount val="12"/>
                <c:pt idx="0">
                  <c:v>16263</c:v>
                </c:pt>
                <c:pt idx="1">
                  <c:v>14225</c:v>
                </c:pt>
                <c:pt idx="2">
                  <c:v>16903</c:v>
                </c:pt>
                <c:pt idx="3">
                  <c:v>14714</c:v>
                </c:pt>
                <c:pt idx="4">
                  <c:v>18073</c:v>
                </c:pt>
                <c:pt idx="5">
                  <c:v>18738</c:v>
                </c:pt>
                <c:pt idx="6">
                  <c:v>13448</c:v>
                </c:pt>
                <c:pt idx="7">
                  <c:v>16581</c:v>
                </c:pt>
                <c:pt idx="8">
                  <c:v>14898</c:v>
                </c:pt>
                <c:pt idx="9">
                  <c:v>16283</c:v>
                </c:pt>
                <c:pt idx="10">
                  <c:v>17408</c:v>
                </c:pt>
                <c:pt idx="11">
                  <c:v>14553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5-41D4-8B62-104A3BDC32F1}"/>
            </c:ext>
          </c:extLst>
        </c:ser>
        <c:ser>
          <c:idx val="1"/>
          <c:order val="1"/>
          <c:tx>
            <c:strRef>
              <c:f>'PC-sales-countries-World-123'!$B$35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'PC-sales-countries-World-123'!$C$35:$N$35</c:f>
              <c:numCache>
                <c:formatCode>_-* #,##0\ _F_-;\-* #,##0\ _F_-;_-* "-"??\ _F_-;_-@_-</c:formatCode>
                <c:ptCount val="12"/>
                <c:pt idx="0">
                  <c:v>17137</c:v>
                </c:pt>
                <c:pt idx="1">
                  <c:v>16826</c:v>
                </c:pt>
                <c:pt idx="2">
                  <c:v>22378</c:v>
                </c:pt>
                <c:pt idx="3">
                  <c:v>18429</c:v>
                </c:pt>
                <c:pt idx="4">
                  <c:v>20298</c:v>
                </c:pt>
                <c:pt idx="5">
                  <c:v>20480</c:v>
                </c:pt>
                <c:pt idx="6">
                  <c:v>16090</c:v>
                </c:pt>
                <c:pt idx="7">
                  <c:v>18718</c:v>
                </c:pt>
                <c:pt idx="8">
                  <c:v>17208</c:v>
                </c:pt>
                <c:pt idx="9">
                  <c:v>19322</c:v>
                </c:pt>
                <c:pt idx="10">
                  <c:v>19411</c:v>
                </c:pt>
                <c:pt idx="11">
                  <c:v>15125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8-41FC-B449-EECD1D4B1F6B}"/>
            </c:ext>
          </c:extLst>
        </c:ser>
        <c:ser>
          <c:idx val="2"/>
          <c:order val="2"/>
          <c:tx>
            <c:strRef>
              <c:f>'PC-sales-countries-World-123'!$B$36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'PC-sales-countries-World-123'!$C$36:$N$36</c:f>
              <c:numCache>
                <c:formatCode>_-* #,##0\ _F_-;\-* #,##0\ _F_-;_-* "-"??\ _F_-;_-@_-</c:formatCode>
                <c:ptCount val="12"/>
                <c:pt idx="0">
                  <c:v>20361</c:v>
                </c:pt>
                <c:pt idx="1">
                  <c:v>18328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8-41FC-B449-EECD1D4B1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61792"/>
        <c:axId val="110963328"/>
      </c:lineChart>
      <c:catAx>
        <c:axId val="1109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63328"/>
        <c:crosses val="autoZero"/>
        <c:auto val="1"/>
        <c:lblAlgn val="ctr"/>
        <c:lblOffset val="100"/>
        <c:noMultiLvlLbl val="0"/>
      </c:catAx>
      <c:valAx>
        <c:axId val="11096332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6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12633131602354"/>
          <c:y val="0.38034002381002113"/>
          <c:w val="0.12215699778185873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'PC-sales-countries-Cumul-World'!$B$50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'PC-sales-countries-Cumul-World'!$C$50:$N$50</c:f>
              <c:numCache>
                <c:formatCode>_-* #,##0\ _F_-;\-* #,##0\ _F_-;_-* "-"??\ _F_-;_-@_-</c:formatCode>
                <c:ptCount val="12"/>
                <c:pt idx="0">
                  <c:v>8088</c:v>
                </c:pt>
                <c:pt idx="1">
                  <c:v>17537</c:v>
                </c:pt>
                <c:pt idx="2">
                  <c:v>28690</c:v>
                </c:pt>
                <c:pt idx="3">
                  <c:v>37780</c:v>
                </c:pt>
                <c:pt idx="4">
                  <c:v>47919</c:v>
                </c:pt>
                <c:pt idx="5">
                  <c:v>57411</c:v>
                </c:pt>
                <c:pt idx="6">
                  <c:v>66411</c:v>
                </c:pt>
                <c:pt idx="7">
                  <c:v>76349</c:v>
                </c:pt>
                <c:pt idx="8">
                  <c:v>85768</c:v>
                </c:pt>
                <c:pt idx="9">
                  <c:v>94027</c:v>
                </c:pt>
                <c:pt idx="10">
                  <c:v>103524</c:v>
                </c:pt>
                <c:pt idx="11">
                  <c:v>111525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A-47E5-A9C5-C639C547553C}"/>
            </c:ext>
          </c:extLst>
        </c:ser>
        <c:ser>
          <c:idx val="1"/>
          <c:order val="1"/>
          <c:tx>
            <c:strRef>
              <c:f>'PC-sales-countries-Cumul-World'!$B$51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'PC-sales-countries-Cumul-World'!$C$51:$N$51</c:f>
              <c:numCache>
                <c:formatCode>_-* #,##0\ _F_-;\-* #,##0\ _F_-;_-* "-"??\ _F_-;_-@_-</c:formatCode>
                <c:ptCount val="12"/>
                <c:pt idx="0">
                  <c:v>8314</c:v>
                </c:pt>
                <c:pt idx="1">
                  <c:v>18062</c:v>
                </c:pt>
                <c:pt idx="2">
                  <c:v>29560</c:v>
                </c:pt>
                <c:pt idx="3">
                  <c:v>38109</c:v>
                </c:pt>
                <c:pt idx="4">
                  <c:v>47107</c:v>
                </c:pt>
                <c:pt idx="5">
                  <c:v>56467</c:v>
                </c:pt>
                <c:pt idx="6">
                  <c:v>65467</c:v>
                </c:pt>
                <c:pt idx="7">
                  <c:v>73858</c:v>
                </c:pt>
                <c:pt idx="8">
                  <c:v>83009</c:v>
                </c:pt>
                <c:pt idx="9">
                  <c:v>91413</c:v>
                </c:pt>
                <c:pt idx="10">
                  <c:v>99743</c:v>
                </c:pt>
                <c:pt idx="11">
                  <c:v>107720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2-4411-9DAB-F942A0D47EF8}"/>
            </c:ext>
          </c:extLst>
        </c:ser>
        <c:ser>
          <c:idx val="2"/>
          <c:order val="2"/>
          <c:tx>
            <c:strRef>
              <c:f>'PC-sales-countries-Cumul-World'!$B$52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'PC-sales-countries-Cumul-World'!$C$52:$N$52</c:f>
              <c:numCache>
                <c:formatCode>_-* #,##0\ _F_-;\-* #,##0\ _F_-;_-* "-"??\ _F_-;_-@_-</c:formatCode>
                <c:ptCount val="12"/>
                <c:pt idx="0">
                  <c:v>8040</c:v>
                </c:pt>
                <c:pt idx="1">
                  <c:v>18775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2-4411-9DAB-F942A0D47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864"/>
        <c:axId val="222154752"/>
      </c:lineChart>
      <c:catAx>
        <c:axId val="2221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154752"/>
        <c:crosses val="autoZero"/>
        <c:auto val="1"/>
        <c:lblAlgn val="ctr"/>
        <c:lblOffset val="100"/>
        <c:noMultiLvlLbl val="0"/>
      </c:catAx>
      <c:valAx>
        <c:axId val="22215475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14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9046741502"/>
          <c:w val="0.1273179220273688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'PC-sales-countries-Cumul-World'!$B$56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'PC-sales-countries-Cumul-World'!$C$56:$N$56</c:f>
              <c:numCache>
                <c:formatCode>_-* #,##0\ _F_-;\-* #,##0\ _F_-;_-* "-"??\ _F_-;_-@_-</c:formatCode>
                <c:ptCount val="12"/>
                <c:pt idx="0">
                  <c:v>25093</c:v>
                </c:pt>
                <c:pt idx="1">
                  <c:v>37058</c:v>
                </c:pt>
                <c:pt idx="2">
                  <c:v>49928</c:v>
                </c:pt>
                <c:pt idx="3">
                  <c:v>57765</c:v>
                </c:pt>
                <c:pt idx="4">
                  <c:v>63045</c:v>
                </c:pt>
                <c:pt idx="5">
                  <c:v>65176</c:v>
                </c:pt>
                <c:pt idx="6">
                  <c:v>87075</c:v>
                </c:pt>
                <c:pt idx="7">
                  <c:v>95183</c:v>
                </c:pt>
                <c:pt idx="8">
                  <c:v>101492</c:v>
                </c:pt>
                <c:pt idx="9">
                  <c:v>104056</c:v>
                </c:pt>
                <c:pt idx="10">
                  <c:v>105039</c:v>
                </c:pt>
                <c:pt idx="11">
                  <c:v>105248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14-407E-9F4E-3E90BBE9D2A6}"/>
            </c:ext>
          </c:extLst>
        </c:ser>
        <c:ser>
          <c:idx val="1"/>
          <c:order val="1"/>
          <c:tx>
            <c:strRef>
              <c:f>'PC-sales-countries-Cumul-World'!$B$57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'PC-sales-countries-Cumul-World'!$C$57:$N$57</c:f>
              <c:numCache>
                <c:formatCode>_-* #,##0\ _F_-;\-* #,##0\ _F_-;_-* "-"??\ _F_-;_-@_-</c:formatCode>
                <c:ptCount val="12"/>
                <c:pt idx="0">
                  <c:v>27363</c:v>
                </c:pt>
                <c:pt idx="1">
                  <c:v>40435</c:v>
                </c:pt>
                <c:pt idx="2">
                  <c:v>58116</c:v>
                </c:pt>
                <c:pt idx="3">
                  <c:v>67018</c:v>
                </c:pt>
                <c:pt idx="4">
                  <c:v>74542</c:v>
                </c:pt>
                <c:pt idx="5">
                  <c:v>77687</c:v>
                </c:pt>
                <c:pt idx="6">
                  <c:v>104641</c:v>
                </c:pt>
                <c:pt idx="7">
                  <c:v>112729</c:v>
                </c:pt>
                <c:pt idx="8">
                  <c:v>118354</c:v>
                </c:pt>
                <c:pt idx="9">
                  <c:v>120491</c:v>
                </c:pt>
                <c:pt idx="10">
                  <c:v>122424</c:v>
                </c:pt>
                <c:pt idx="11">
                  <c:v>122850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A3-45BE-8930-B825D9B8CC1A}"/>
            </c:ext>
          </c:extLst>
        </c:ser>
        <c:ser>
          <c:idx val="2"/>
          <c:order val="2"/>
          <c:tx>
            <c:strRef>
              <c:f>'PC-sales-countries-Cumul-World'!$B$58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'PC-sales-countries-Cumul-World'!$C$58:$N$58</c:f>
              <c:numCache>
                <c:formatCode>_-* #,##0\ _F_-;\-* #,##0\ _F_-;_-* "-"??\ _F_-;_-@_-</c:formatCode>
                <c:ptCount val="12"/>
                <c:pt idx="0">
                  <c:v>31425</c:v>
                </c:pt>
                <c:pt idx="1">
                  <c:v>47877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A3-45BE-8930-B825D9B8C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81632"/>
        <c:axId val="222187520"/>
      </c:lineChart>
      <c:catAx>
        <c:axId val="22218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187520"/>
        <c:crosses val="autoZero"/>
        <c:auto val="1"/>
        <c:lblAlgn val="ctr"/>
        <c:lblOffset val="100"/>
        <c:noMultiLvlLbl val="0"/>
      </c:catAx>
      <c:valAx>
        <c:axId val="2221875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18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236561610170083"/>
          <c:w val="0.1263997152262924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'PC-sales-countries-Cumul-World'!$B$53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'PC-sales-countries-Cumul-World'!$C$53:$N$53</c:f>
              <c:numCache>
                <c:formatCode>_-* #,##0\ _F_-;\-* #,##0\ _F_-;_-* "-"??\ _F_-;_-@_-</c:formatCode>
                <c:ptCount val="12"/>
                <c:pt idx="0">
                  <c:v>254287</c:v>
                </c:pt>
                <c:pt idx="1">
                  <c:v>517271</c:v>
                </c:pt>
                <c:pt idx="2">
                  <c:v>796772</c:v>
                </c:pt>
                <c:pt idx="3">
                  <c:v>1048353</c:v>
                </c:pt>
                <c:pt idx="4">
                  <c:v>1299405</c:v>
                </c:pt>
                <c:pt idx="5">
                  <c:v>1621939</c:v>
                </c:pt>
                <c:pt idx="6">
                  <c:v>1915804</c:v>
                </c:pt>
                <c:pt idx="7">
                  <c:v>2197014</c:v>
                </c:pt>
                <c:pt idx="8">
                  <c:v>2504403</c:v>
                </c:pt>
                <c:pt idx="9">
                  <c:v>2795516</c:v>
                </c:pt>
                <c:pt idx="10">
                  <c:v>3071747</c:v>
                </c:pt>
                <c:pt idx="11">
                  <c:v>3345842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3-48B9-9049-8922E66839EC}"/>
            </c:ext>
          </c:extLst>
        </c:ser>
        <c:ser>
          <c:idx val="1"/>
          <c:order val="1"/>
          <c:tx>
            <c:strRef>
              <c:f>'PC-sales-countries-Cumul-World'!$B$54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'PC-sales-countries-Cumul-World'!$C$54:$N$54</c:f>
              <c:numCache>
                <c:formatCode>_-* #,##0\ _F_-;\-* #,##0\ _F_-;_-* "-"??\ _F_-;_-@_-</c:formatCode>
                <c:ptCount val="12"/>
                <c:pt idx="0">
                  <c:v>298093</c:v>
                </c:pt>
                <c:pt idx="1">
                  <c:v>590021</c:v>
                </c:pt>
                <c:pt idx="2">
                  <c:v>927179</c:v>
                </c:pt>
                <c:pt idx="3">
                  <c:v>1211550</c:v>
                </c:pt>
                <c:pt idx="4">
                  <c:v>1499919</c:v>
                </c:pt>
                <c:pt idx="5">
                  <c:v>1827184</c:v>
                </c:pt>
                <c:pt idx="6">
                  <c:v>2129705</c:v>
                </c:pt>
                <c:pt idx="7">
                  <c:v>2443420</c:v>
                </c:pt>
                <c:pt idx="8">
                  <c:v>2808229</c:v>
                </c:pt>
                <c:pt idx="9">
                  <c:v>3149576</c:v>
                </c:pt>
                <c:pt idx="10">
                  <c:v>3437638</c:v>
                </c:pt>
                <c:pt idx="11">
                  <c:v>3719606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0-486B-9C55-60269DD15C20}"/>
            </c:ext>
          </c:extLst>
        </c:ser>
        <c:ser>
          <c:idx val="2"/>
          <c:order val="2"/>
          <c:tx>
            <c:strRef>
              <c:f>'PC-sales-countries-Cumul-World'!$B$55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'PC-sales-countries-Cumul-World'!$C$55:$N$55</c:f>
              <c:numCache>
                <c:formatCode>_-* #,##0\ _F_-;\-* #,##0\ _F_-;_-* "-"??\ _F_-;_-@_-</c:formatCode>
                <c:ptCount val="12"/>
                <c:pt idx="0">
                  <c:v>339441</c:v>
                </c:pt>
                <c:pt idx="1">
                  <c:v>658960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0-486B-9C55-60269DD1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18496"/>
        <c:axId val="222224384"/>
      </c:lineChart>
      <c:catAx>
        <c:axId val="2222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24384"/>
        <c:crosses val="autoZero"/>
        <c:auto val="1"/>
        <c:lblAlgn val="ctr"/>
        <c:lblOffset val="100"/>
        <c:noMultiLvlLbl val="0"/>
      </c:catAx>
      <c:valAx>
        <c:axId val="22222438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1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034002381002113"/>
          <c:w val="0.12485939257592801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'PC-sales-countries-Cumul-World'!$B$59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'PC-sales-countries-Cumul-World'!$C$59:$N$59</c:f>
              <c:numCache>
                <c:formatCode>_-* #,##0\ _F_-;\-* #,##0\ _F_-;_-* "-"??\ _F_-;_-@_-</c:formatCode>
                <c:ptCount val="12"/>
                <c:pt idx="0">
                  <c:v>107814</c:v>
                </c:pt>
                <c:pt idx="1">
                  <c:v>218716</c:v>
                </c:pt>
                <c:pt idx="2">
                  <c:v>338258</c:v>
                </c:pt>
                <c:pt idx="3">
                  <c:v>435647</c:v>
                </c:pt>
                <c:pt idx="4">
                  <c:v>556974</c:v>
                </c:pt>
                <c:pt idx="5">
                  <c:v>684228</c:v>
                </c:pt>
                <c:pt idx="6">
                  <c:v>793856</c:v>
                </c:pt>
                <c:pt idx="7">
                  <c:v>865044</c:v>
                </c:pt>
                <c:pt idx="8">
                  <c:v>976055</c:v>
                </c:pt>
                <c:pt idx="9">
                  <c:v>1091894</c:v>
                </c:pt>
                <c:pt idx="10">
                  <c:v>1211769</c:v>
                </c:pt>
                <c:pt idx="11">
                  <c:v>1316684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A7-427A-A587-C1776410750F}"/>
            </c:ext>
          </c:extLst>
        </c:ser>
        <c:ser>
          <c:idx val="1"/>
          <c:order val="1"/>
          <c:tx>
            <c:strRef>
              <c:f>'PC-sales-countries-Cumul-World'!$B$60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'PC-sales-countries-Cumul-World'!$C$60:$N$60</c:f>
              <c:numCache>
                <c:formatCode>_-* #,##0\ _F_-;\-* #,##0\ _F_-;_-* "-"??\ _F_-;_-@_-</c:formatCode>
                <c:ptCount val="12"/>
                <c:pt idx="0">
                  <c:v>128437</c:v>
                </c:pt>
                <c:pt idx="1">
                  <c:v>258724</c:v>
                </c:pt>
                <c:pt idx="2">
                  <c:v>427067</c:v>
                </c:pt>
                <c:pt idx="3">
                  <c:v>552850</c:v>
                </c:pt>
                <c:pt idx="4">
                  <c:v>702339</c:v>
                </c:pt>
                <c:pt idx="5">
                  <c:v>840750</c:v>
                </c:pt>
                <c:pt idx="6">
                  <c:v>976488</c:v>
                </c:pt>
                <c:pt idx="7">
                  <c:v>1040560</c:v>
                </c:pt>
                <c:pt idx="8">
                  <c:v>1176003</c:v>
                </c:pt>
                <c:pt idx="9">
                  <c:v>1315033</c:v>
                </c:pt>
                <c:pt idx="10">
                  <c:v>1454261</c:v>
                </c:pt>
                <c:pt idx="11">
                  <c:v>1566448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1-4B5D-9A8A-285156D6BE0A}"/>
            </c:ext>
          </c:extLst>
        </c:ser>
        <c:ser>
          <c:idx val="2"/>
          <c:order val="2"/>
          <c:tx>
            <c:strRef>
              <c:f>'PC-sales-countries-Cumul-World'!$B$61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'PC-sales-countries-Cumul-World'!$C$61:$N$61</c:f>
              <c:numCache>
                <c:formatCode>_-* #,##0\ _F_-;\-* #,##0\ _F_-;_-* "-"??\ _F_-;_-@_-</c:formatCode>
                <c:ptCount val="12"/>
                <c:pt idx="0">
                  <c:v>141893</c:v>
                </c:pt>
                <c:pt idx="1">
                  <c:v>288948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1-4B5D-9A8A-285156D6B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8976"/>
        <c:axId val="222257152"/>
      </c:lineChart>
      <c:catAx>
        <c:axId val="2222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57152"/>
        <c:crosses val="autoZero"/>
        <c:auto val="1"/>
        <c:lblAlgn val="ctr"/>
        <c:lblOffset val="100"/>
        <c:noMultiLvlLbl val="0"/>
      </c:catAx>
      <c:valAx>
        <c:axId val="22225715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3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76885808794464"/>
          <c:y val="0.36394601273245097"/>
          <c:w val="0.12666414033240239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'PC-sales-countries-Cumul-World'!$B$62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'PC-sales-countries-Cumul-World'!$C$62:$N$62</c:f>
              <c:numCache>
                <c:formatCode>_-* #,##0\ _F_-;\-* #,##0\ _F_-;_-* "-"??\ _F_-;_-@_-</c:formatCode>
                <c:ptCount val="12"/>
                <c:pt idx="0">
                  <c:v>272445</c:v>
                </c:pt>
                <c:pt idx="1">
                  <c:v>562293</c:v>
                </c:pt>
                <c:pt idx="2">
                  <c:v>988686</c:v>
                </c:pt>
                <c:pt idx="3">
                  <c:v>1232978</c:v>
                </c:pt>
                <c:pt idx="4">
                  <c:v>1444834</c:v>
                </c:pt>
                <c:pt idx="5">
                  <c:v>1712911</c:v>
                </c:pt>
                <c:pt idx="6">
                  <c:v>2001056</c:v>
                </c:pt>
                <c:pt idx="7">
                  <c:v>2235199</c:v>
                </c:pt>
                <c:pt idx="8">
                  <c:v>2560100</c:v>
                </c:pt>
                <c:pt idx="9">
                  <c:v>2855909</c:v>
                </c:pt>
                <c:pt idx="10">
                  <c:v>3163968</c:v>
                </c:pt>
                <c:pt idx="11">
                  <c:v>3448298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1-44FF-ADA8-D742529C0679}"/>
            </c:ext>
          </c:extLst>
        </c:ser>
        <c:ser>
          <c:idx val="1"/>
          <c:order val="1"/>
          <c:tx>
            <c:strRef>
              <c:f>'PC-sales-countries-Cumul-World'!$B$63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'PC-sales-countries-Cumul-World'!$C$63:$N$63</c:f>
              <c:numCache>
                <c:formatCode>_-* #,##0\ _F_-;\-* #,##0\ _F_-;_-* "-"??\ _F_-;_-@_-</c:formatCode>
                <c:ptCount val="12"/>
                <c:pt idx="0">
                  <c:v>319870</c:v>
                </c:pt>
                <c:pt idx="1">
                  <c:v>676151</c:v>
                </c:pt>
                <c:pt idx="2">
                  <c:v>1154094</c:v>
                </c:pt>
                <c:pt idx="3">
                  <c:v>1443619</c:v>
                </c:pt>
                <c:pt idx="4">
                  <c:v>1715661</c:v>
                </c:pt>
                <c:pt idx="5">
                  <c:v>2047694</c:v>
                </c:pt>
                <c:pt idx="6">
                  <c:v>2368691</c:v>
                </c:pt>
                <c:pt idx="7">
                  <c:v>2649228</c:v>
                </c:pt>
                <c:pt idx="8">
                  <c:v>3012627</c:v>
                </c:pt>
                <c:pt idx="9">
                  <c:v>3347112</c:v>
                </c:pt>
                <c:pt idx="10">
                  <c:v>3691157</c:v>
                </c:pt>
                <c:pt idx="11">
                  <c:v>3992728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6-453B-9898-7813E42BC102}"/>
            </c:ext>
          </c:extLst>
        </c:ser>
        <c:ser>
          <c:idx val="2"/>
          <c:order val="2"/>
          <c:tx>
            <c:strRef>
              <c:f>'PC-sales-countries-Cumul-World'!$B$64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'PC-sales-countries-Cumul-World'!$C$64:$N$64</c:f>
              <c:numCache>
                <c:formatCode>_-* #,##0\ _F_-;\-* #,##0\ _F_-;_-* "-"??\ _F_-;_-@_-</c:formatCode>
                <c:ptCount val="12"/>
                <c:pt idx="0">
                  <c:v>285429</c:v>
                </c:pt>
                <c:pt idx="1">
                  <c:v>583924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6-453B-9898-7813E42B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6320"/>
        <c:axId val="222367744"/>
      </c:lineChart>
      <c:catAx>
        <c:axId val="2222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367744"/>
        <c:crosses val="autoZero"/>
        <c:auto val="1"/>
        <c:lblAlgn val="ctr"/>
        <c:lblOffset val="100"/>
        <c:noMultiLvlLbl val="0"/>
      </c:catAx>
      <c:valAx>
        <c:axId val="22236774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9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1137431350484"/>
          <c:y val="0.38034009046741502"/>
          <c:w val="0.12423055400111919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'PC-sales-countries-Cumul-World'!$B$65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'PC-sales-countries-Cumul-World'!$C$65:$N$65</c:f>
              <c:numCache>
                <c:formatCode>_-* #,##0\ _F_-;\-* #,##0\ _F_-;_-* "-"??\ _F_-;_-@_-</c:formatCode>
                <c:ptCount val="12"/>
                <c:pt idx="0">
                  <c:v>92539</c:v>
                </c:pt>
                <c:pt idx="1">
                  <c:v>193381</c:v>
                </c:pt>
                <c:pt idx="2">
                  <c:v>312034</c:v>
                </c:pt>
                <c:pt idx="3">
                  <c:v>432931</c:v>
                </c:pt>
                <c:pt idx="4">
                  <c:v>552738</c:v>
                </c:pt>
                <c:pt idx="5">
                  <c:v>676506</c:v>
                </c:pt>
                <c:pt idx="6">
                  <c:v>795314</c:v>
                </c:pt>
                <c:pt idx="7">
                  <c:v>902123</c:v>
                </c:pt>
                <c:pt idx="8">
                  <c:v>1016854</c:v>
                </c:pt>
                <c:pt idx="9">
                  <c:v>1136676</c:v>
                </c:pt>
                <c:pt idx="10">
                  <c:v>1269884</c:v>
                </c:pt>
                <c:pt idx="11">
                  <c:v>1409553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D-4FCF-BA10-67CEB958B25F}"/>
            </c:ext>
          </c:extLst>
        </c:ser>
        <c:ser>
          <c:idx val="1"/>
          <c:order val="1"/>
          <c:tx>
            <c:strRef>
              <c:f>'PC-sales-countries-Cumul-World'!$B$66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'PC-sales-countries-Cumul-World'!$C$66:$N$66</c:f>
              <c:numCache>
                <c:formatCode>_-* #,##0\ _F_-;\-* #,##0\ _F_-;_-* "-"??\ _F_-;_-@_-</c:formatCode>
                <c:ptCount val="12"/>
                <c:pt idx="0">
                  <c:v>101134</c:v>
                </c:pt>
                <c:pt idx="1">
                  <c:v>221277</c:v>
                </c:pt>
                <c:pt idx="2">
                  <c:v>359785</c:v>
                </c:pt>
                <c:pt idx="3">
                  <c:v>487038</c:v>
                </c:pt>
                <c:pt idx="4">
                  <c:v>617179</c:v>
                </c:pt>
                <c:pt idx="5">
                  <c:v>756713</c:v>
                </c:pt>
                <c:pt idx="6">
                  <c:v>870588</c:v>
                </c:pt>
                <c:pt idx="7">
                  <c:v>983311</c:v>
                </c:pt>
                <c:pt idx="8">
                  <c:v>1095016</c:v>
                </c:pt>
                <c:pt idx="9">
                  <c:v>1211900</c:v>
                </c:pt>
                <c:pt idx="10">
                  <c:v>1345886</c:v>
                </c:pt>
                <c:pt idx="11">
                  <c:v>1470524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E-4F48-A44F-79B87BF2DA92}"/>
            </c:ext>
          </c:extLst>
        </c:ser>
        <c:ser>
          <c:idx val="2"/>
          <c:order val="2"/>
          <c:tx>
            <c:strRef>
              <c:f>'PC-sales-countries-Cumul-World'!$B$67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'PC-sales-countries-Cumul-World'!$C$67:$N$67</c:f>
              <c:numCache>
                <c:formatCode>_-* #,##0\ _F_-;\-* #,##0\ _F_-;_-* "-"??\ _F_-;_-@_-</c:formatCode>
                <c:ptCount val="12"/>
                <c:pt idx="0">
                  <c:v>101696</c:v>
                </c:pt>
                <c:pt idx="1">
                  <c:v>201778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E-4F48-A44F-79B87BF2D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95008"/>
        <c:axId val="222396800"/>
      </c:lineChart>
      <c:catAx>
        <c:axId val="2223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396800"/>
        <c:crosses val="autoZero"/>
        <c:auto val="1"/>
        <c:lblAlgn val="ctr"/>
        <c:lblOffset val="100"/>
        <c:noMultiLvlLbl val="0"/>
      </c:catAx>
      <c:valAx>
        <c:axId val="22239680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39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2618417949178129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'PC-sales-countries-Cumul-World'!$B$68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'PC-sales-countries-Cumul-World'!$C$68:$N$68</c:f>
              <c:numCache>
                <c:formatCode>_-* #,##0\ _F_-;\-* #,##0\ _F_-;_-* "-"??\ _F_-;_-@_-</c:formatCode>
                <c:ptCount val="12"/>
                <c:pt idx="0">
                  <c:v>37277</c:v>
                </c:pt>
                <c:pt idx="1">
                  <c:v>74133</c:v>
                </c:pt>
                <c:pt idx="2">
                  <c:v>117876</c:v>
                </c:pt>
                <c:pt idx="3">
                  <c:v>158398</c:v>
                </c:pt>
                <c:pt idx="4">
                  <c:v>201757</c:v>
                </c:pt>
                <c:pt idx="5">
                  <c:v>243148</c:v>
                </c:pt>
                <c:pt idx="6">
                  <c:v>279400</c:v>
                </c:pt>
                <c:pt idx="7">
                  <c:v>320835</c:v>
                </c:pt>
                <c:pt idx="8">
                  <c:v>358794</c:v>
                </c:pt>
                <c:pt idx="9">
                  <c:v>395745</c:v>
                </c:pt>
                <c:pt idx="10">
                  <c:v>436342</c:v>
                </c:pt>
                <c:pt idx="11">
                  <c:v>486993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B9-4C3B-816F-70D577A55CE5}"/>
            </c:ext>
          </c:extLst>
        </c:ser>
        <c:ser>
          <c:idx val="1"/>
          <c:order val="1"/>
          <c:tx>
            <c:strRef>
              <c:f>'PC-sales-countries-Cumul-World'!$B$69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'PC-sales-countries-Cumul-World'!$C$69:$N$69</c:f>
              <c:numCache>
                <c:formatCode>_-* #,##0\ _F_-;\-* #,##0\ _F_-;_-* "-"??\ _F_-;_-@_-</c:formatCode>
                <c:ptCount val="12"/>
                <c:pt idx="0">
                  <c:v>40728</c:v>
                </c:pt>
                <c:pt idx="1">
                  <c:v>89020</c:v>
                </c:pt>
                <c:pt idx="2">
                  <c:v>144161</c:v>
                </c:pt>
                <c:pt idx="3">
                  <c:v>184050</c:v>
                </c:pt>
                <c:pt idx="4">
                  <c:v>230524</c:v>
                </c:pt>
                <c:pt idx="5">
                  <c:v>279415</c:v>
                </c:pt>
                <c:pt idx="6">
                  <c:v>327037</c:v>
                </c:pt>
                <c:pt idx="7">
                  <c:v>377806</c:v>
                </c:pt>
                <c:pt idx="8">
                  <c:v>428275</c:v>
                </c:pt>
                <c:pt idx="9">
                  <c:v>477130</c:v>
                </c:pt>
                <c:pt idx="10">
                  <c:v>534951</c:v>
                </c:pt>
                <c:pt idx="11">
                  <c:v>598091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3-4780-9DCE-BABCD2358D90}"/>
            </c:ext>
          </c:extLst>
        </c:ser>
        <c:ser>
          <c:idx val="2"/>
          <c:order val="2"/>
          <c:tx>
            <c:strRef>
              <c:f>'PC-sales-countries-Cumul-World'!$B$70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'PC-sales-countries-Cumul-World'!$C$70:$N$70</c:f>
              <c:numCache>
                <c:formatCode>_-* #,##0\ _F_-;\-* #,##0\ _F_-;_-* "-"??\ _F_-;_-@_-</c:formatCode>
                <c:ptCount val="12"/>
                <c:pt idx="0">
                  <c:v>47976</c:v>
                </c:pt>
                <c:pt idx="1">
                  <c:v>96071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3-4780-9DCE-BABCD235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23680"/>
        <c:axId val="222769536"/>
      </c:lineChart>
      <c:catAx>
        <c:axId val="2224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769536"/>
        <c:crosses val="autoZero"/>
        <c:auto val="1"/>
        <c:lblAlgn val="ctr"/>
        <c:lblOffset val="100"/>
        <c:noMultiLvlLbl val="0"/>
      </c:catAx>
      <c:valAx>
        <c:axId val="22276953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423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324916282017"/>
          <c:y val="0.38034009046741502"/>
          <c:w val="0.12753735162994173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'PC-sales-countries-Cumul-World'!$B$71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'PC-sales-countries-Cumul-World'!$C$71:$N$71</c:f>
              <c:numCache>
                <c:formatCode>_-* #,##0\ _F_-;\-* #,##0\ _F_-;_-* "-"??\ _F_-;_-@_-</c:formatCode>
                <c:ptCount val="12"/>
                <c:pt idx="0">
                  <c:v>30984</c:v>
                </c:pt>
                <c:pt idx="1">
                  <c:v>53724</c:v>
                </c:pt>
                <c:pt idx="2">
                  <c:v>78539</c:v>
                </c:pt>
                <c:pt idx="3">
                  <c:v>100457</c:v>
                </c:pt>
                <c:pt idx="4">
                  <c:v>123811</c:v>
                </c:pt>
                <c:pt idx="5">
                  <c:v>153708</c:v>
                </c:pt>
                <c:pt idx="6">
                  <c:v>175775</c:v>
                </c:pt>
                <c:pt idx="7">
                  <c:v>199297</c:v>
                </c:pt>
                <c:pt idx="8">
                  <c:v>224944</c:v>
                </c:pt>
                <c:pt idx="9">
                  <c:v>253764</c:v>
                </c:pt>
                <c:pt idx="10">
                  <c:v>281583</c:v>
                </c:pt>
                <c:pt idx="11">
                  <c:v>312483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B-4342-975B-9E2D5934CEEC}"/>
            </c:ext>
          </c:extLst>
        </c:ser>
        <c:ser>
          <c:idx val="1"/>
          <c:order val="1"/>
          <c:tx>
            <c:strRef>
              <c:f>'PC-sales-countries-Cumul-World'!$B$72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'PC-sales-countries-Cumul-World'!$C$72:$N$72</c:f>
              <c:numCache>
                <c:formatCode>_-* #,##0\ _F_-;\-* #,##0\ _F_-;_-* "-"??\ _F_-;_-@_-</c:formatCode>
                <c:ptCount val="12"/>
                <c:pt idx="0">
                  <c:v>32845</c:v>
                </c:pt>
                <c:pt idx="1">
                  <c:v>60973</c:v>
                </c:pt>
                <c:pt idx="2">
                  <c:v>98425</c:v>
                </c:pt>
                <c:pt idx="3">
                  <c:v>127597</c:v>
                </c:pt>
                <c:pt idx="4">
                  <c:v>160617</c:v>
                </c:pt>
                <c:pt idx="5">
                  <c:v>202595</c:v>
                </c:pt>
                <c:pt idx="6">
                  <c:v>235111</c:v>
                </c:pt>
                <c:pt idx="7">
                  <c:v>257059</c:v>
                </c:pt>
                <c:pt idx="8">
                  <c:v>286961</c:v>
                </c:pt>
                <c:pt idx="9">
                  <c:v>315013</c:v>
                </c:pt>
                <c:pt idx="10">
                  <c:v>343221</c:v>
                </c:pt>
                <c:pt idx="11">
                  <c:v>369791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3-495C-BDD3-4FEF79A80AA3}"/>
            </c:ext>
          </c:extLst>
        </c:ser>
        <c:ser>
          <c:idx val="2"/>
          <c:order val="2"/>
          <c:tx>
            <c:strRef>
              <c:f>'PC-sales-countries-Cumul-World'!$B$73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'PC-sales-countries-Cumul-World'!$C$73:$N$73</c:f>
              <c:numCache>
                <c:formatCode>_-* #,##0\ _F_-;\-* #,##0\ _F_-;_-* "-"??\ _F_-;_-@_-</c:formatCode>
                <c:ptCount val="12"/>
                <c:pt idx="0">
                  <c:v>34777</c:v>
                </c:pt>
                <c:pt idx="1">
                  <c:v>64810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3-495C-BDD3-4FEF79A80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92704"/>
        <c:axId val="222798592"/>
      </c:lineChart>
      <c:catAx>
        <c:axId val="2227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798592"/>
        <c:crosses val="autoZero"/>
        <c:auto val="1"/>
        <c:lblAlgn val="ctr"/>
        <c:lblOffset val="100"/>
        <c:noMultiLvlLbl val="0"/>
      </c:catAx>
      <c:valAx>
        <c:axId val="22279859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79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112036786958359"/>
          <c:w val="0.12485939257592801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'PC-sales-countries-Cumul-World'!$B$74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'PC-sales-countries-Cumul-World'!$C$74:$N$74</c:f>
              <c:numCache>
                <c:formatCode>_-* #,##0\ _F_-;\-* #,##0\ _F_-;_-* "-"??\ _F_-;_-@_-</c:formatCode>
                <c:ptCount val="12"/>
                <c:pt idx="0">
                  <c:v>28975</c:v>
                </c:pt>
                <c:pt idx="1">
                  <c:v>62513</c:v>
                </c:pt>
                <c:pt idx="2">
                  <c:v>102041</c:v>
                </c:pt>
                <c:pt idx="3">
                  <c:v>136923</c:v>
                </c:pt>
                <c:pt idx="4">
                  <c:v>172820</c:v>
                </c:pt>
                <c:pt idx="5">
                  <c:v>212417</c:v>
                </c:pt>
                <c:pt idx="6">
                  <c:v>247119</c:v>
                </c:pt>
                <c:pt idx="7">
                  <c:v>280877</c:v>
                </c:pt>
                <c:pt idx="8">
                  <c:v>316680</c:v>
                </c:pt>
                <c:pt idx="9">
                  <c:v>348681</c:v>
                </c:pt>
                <c:pt idx="10">
                  <c:v>382877</c:v>
                </c:pt>
                <c:pt idx="11">
                  <c:v>419749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D-4634-A13D-74B0E018B6E3}"/>
            </c:ext>
          </c:extLst>
        </c:ser>
        <c:ser>
          <c:idx val="1"/>
          <c:order val="1"/>
          <c:tx>
            <c:strRef>
              <c:f>'PC-sales-countries-Cumul-World'!$B$75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'PC-sales-countries-Cumul-World'!$C$75:$N$75</c:f>
              <c:numCache>
                <c:formatCode>_-* #,##0\ _F_-;\-* #,##0\ _F_-;_-* "-"??\ _F_-;_-@_-</c:formatCode>
                <c:ptCount val="12"/>
                <c:pt idx="0">
                  <c:v>35047</c:v>
                </c:pt>
                <c:pt idx="1">
                  <c:v>73571</c:v>
                </c:pt>
                <c:pt idx="2">
                  <c:v>123032</c:v>
                </c:pt>
                <c:pt idx="3">
                  <c:v>158516</c:v>
                </c:pt>
                <c:pt idx="4">
                  <c:v>197092</c:v>
                </c:pt>
                <c:pt idx="5">
                  <c:v>238673</c:v>
                </c:pt>
                <c:pt idx="6">
                  <c:v>275061</c:v>
                </c:pt>
                <c:pt idx="7">
                  <c:v>311239</c:v>
                </c:pt>
                <c:pt idx="8">
                  <c:v>350317</c:v>
                </c:pt>
                <c:pt idx="9">
                  <c:v>391231</c:v>
                </c:pt>
                <c:pt idx="10">
                  <c:v>432917</c:v>
                </c:pt>
                <c:pt idx="11">
                  <c:v>475034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2-49CF-B7E0-D2A9FC17F2EE}"/>
            </c:ext>
          </c:extLst>
        </c:ser>
        <c:ser>
          <c:idx val="2"/>
          <c:order val="2"/>
          <c:tx>
            <c:strRef>
              <c:f>'PC-sales-countries-Cumul-World'!$B$76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'PC-sales-countries-Cumul-World'!$C$76:$N$76</c:f>
              <c:numCache>
                <c:formatCode>_-* #,##0\ _F_-;\-* #,##0\ _F_-;_-* "-"??\ _F_-;_-@_-</c:formatCode>
                <c:ptCount val="12"/>
                <c:pt idx="0">
                  <c:v>42789</c:v>
                </c:pt>
                <c:pt idx="1">
                  <c:v>88767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2-49CF-B7E0-D2A9FC17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30272"/>
        <c:axId val="223036160"/>
      </c:lineChart>
      <c:catAx>
        <c:axId val="2230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036160"/>
        <c:crosses val="autoZero"/>
        <c:auto val="1"/>
        <c:lblAlgn val="ctr"/>
        <c:lblOffset val="100"/>
        <c:noMultiLvlLbl val="0"/>
      </c:catAx>
      <c:valAx>
        <c:axId val="22303616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03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034002381002113"/>
          <c:w val="0.1263997152262924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'PC-sales-countries-Cumul-World'!$B$77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'PC-sales-countries-Cumul-World'!$C$77:$N$77</c:f>
              <c:numCache>
                <c:formatCode>_-* #,##0\ _F_-;\-* #,##0\ _F_-;_-* "-"??\ _F_-;_-@_-</c:formatCode>
                <c:ptCount val="12"/>
                <c:pt idx="0">
                  <c:v>9829</c:v>
                </c:pt>
                <c:pt idx="1">
                  <c:v>21400</c:v>
                </c:pt>
                <c:pt idx="2">
                  <c:v>34771</c:v>
                </c:pt>
                <c:pt idx="3">
                  <c:v>47191</c:v>
                </c:pt>
                <c:pt idx="4">
                  <c:v>59939</c:v>
                </c:pt>
                <c:pt idx="5">
                  <c:v>75449</c:v>
                </c:pt>
                <c:pt idx="6">
                  <c:v>89944</c:v>
                </c:pt>
                <c:pt idx="7">
                  <c:v>101293</c:v>
                </c:pt>
                <c:pt idx="8">
                  <c:v>113764</c:v>
                </c:pt>
                <c:pt idx="9">
                  <c:v>126322</c:v>
                </c:pt>
                <c:pt idx="10">
                  <c:v>141556</c:v>
                </c:pt>
                <c:pt idx="11">
                  <c:v>156308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0-4393-B8D7-5620CEA4F711}"/>
            </c:ext>
          </c:extLst>
        </c:ser>
        <c:ser>
          <c:idx val="1"/>
          <c:order val="1"/>
          <c:tx>
            <c:strRef>
              <c:f>'PC-sales-countries-Cumul-World'!$B$78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'PC-sales-countries-Cumul-World'!$C$78:$N$78</c:f>
              <c:numCache>
                <c:formatCode>_-* #,##0\ _F_-;\-* #,##0\ _F_-;_-* "-"??\ _F_-;_-@_-</c:formatCode>
                <c:ptCount val="12"/>
                <c:pt idx="0">
                  <c:v>14639</c:v>
                </c:pt>
                <c:pt idx="1">
                  <c:v>30719</c:v>
                </c:pt>
                <c:pt idx="2">
                  <c:v>52191</c:v>
                </c:pt>
                <c:pt idx="3">
                  <c:v>68298</c:v>
                </c:pt>
                <c:pt idx="4">
                  <c:v>88114</c:v>
                </c:pt>
                <c:pt idx="5">
                  <c:v>110155</c:v>
                </c:pt>
                <c:pt idx="6">
                  <c:v>128388</c:v>
                </c:pt>
                <c:pt idx="7">
                  <c:v>139279</c:v>
                </c:pt>
                <c:pt idx="8">
                  <c:v>153356</c:v>
                </c:pt>
                <c:pt idx="9">
                  <c:v>167219</c:v>
                </c:pt>
                <c:pt idx="10">
                  <c:v>182988</c:v>
                </c:pt>
                <c:pt idx="11">
                  <c:v>199623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C-45AF-A504-8004B14592F6}"/>
            </c:ext>
          </c:extLst>
        </c:ser>
        <c:ser>
          <c:idx val="2"/>
          <c:order val="2"/>
          <c:tx>
            <c:strRef>
              <c:f>'PC-sales-countries-Cumul-World'!$B$79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'PC-sales-countries-Cumul-World'!$C$79:$N$79</c:f>
              <c:numCache>
                <c:formatCode>_-* #,##0\ _F_-;\-* #,##0\ _F_-;_-* "-"??\ _F_-;_-@_-</c:formatCode>
                <c:ptCount val="12"/>
                <c:pt idx="0">
                  <c:v>15737</c:v>
                </c:pt>
                <c:pt idx="1">
                  <c:v>36248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C-45AF-A504-8004B1459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76352"/>
        <c:axId val="223077888"/>
      </c:lineChart>
      <c:catAx>
        <c:axId val="2230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077888"/>
        <c:crosses val="autoZero"/>
        <c:auto val="1"/>
        <c:lblAlgn val="ctr"/>
        <c:lblOffset val="100"/>
        <c:noMultiLvlLbl val="0"/>
      </c:catAx>
      <c:valAx>
        <c:axId val="2230778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07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9046741502"/>
          <c:w val="0.127317922027368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'PC-sales-countries-World-123'!$B$37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'PC-sales-countries-World-123'!$C$37:$N$37</c:f>
              <c:numCache>
                <c:formatCode>_-* #,##0\ _F_-;\-* #,##0\ _F_-;_-* "-"??\ _F_-;_-@_-</c:formatCode>
                <c:ptCount val="12"/>
                <c:pt idx="0">
                  <c:v>25245</c:v>
                </c:pt>
                <c:pt idx="1">
                  <c:v>24655</c:v>
                </c:pt>
                <c:pt idx="2">
                  <c:v>38398</c:v>
                </c:pt>
                <c:pt idx="3">
                  <c:v>27177</c:v>
                </c:pt>
                <c:pt idx="4">
                  <c:v>32975</c:v>
                </c:pt>
                <c:pt idx="5">
                  <c:v>37046</c:v>
                </c:pt>
                <c:pt idx="6">
                  <c:v>22619</c:v>
                </c:pt>
                <c:pt idx="7">
                  <c:v>32225</c:v>
                </c:pt>
                <c:pt idx="8">
                  <c:v>34450</c:v>
                </c:pt>
                <c:pt idx="9">
                  <c:v>29604</c:v>
                </c:pt>
                <c:pt idx="10">
                  <c:v>39026</c:v>
                </c:pt>
                <c:pt idx="11">
                  <c:v>60902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1-4DAA-8037-F0B3CF9948F9}"/>
            </c:ext>
          </c:extLst>
        </c:ser>
        <c:ser>
          <c:idx val="1"/>
          <c:order val="1"/>
          <c:tx>
            <c:strRef>
              <c:f>'PC-sales-countries-World-123'!$B$38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'PC-sales-countries-World-123'!$C$38:$N$38</c:f>
              <c:numCache>
                <c:formatCode>_-* #,##0\ _F_-;\-* #,##0\ _F_-;_-* "-"??\ _F_-;_-@_-</c:formatCode>
                <c:ptCount val="12"/>
                <c:pt idx="0">
                  <c:v>19483</c:v>
                </c:pt>
                <c:pt idx="1">
                  <c:v>25150</c:v>
                </c:pt>
                <c:pt idx="2">
                  <c:v>45003</c:v>
                </c:pt>
                <c:pt idx="3">
                  <c:v>28346</c:v>
                </c:pt>
                <c:pt idx="4">
                  <c:v>55839</c:v>
                </c:pt>
                <c:pt idx="5">
                  <c:v>62513</c:v>
                </c:pt>
                <c:pt idx="6">
                  <c:v>25153</c:v>
                </c:pt>
                <c:pt idx="7">
                  <c:v>32413</c:v>
                </c:pt>
                <c:pt idx="8">
                  <c:v>32774</c:v>
                </c:pt>
                <c:pt idx="9">
                  <c:v>28588</c:v>
                </c:pt>
                <c:pt idx="10">
                  <c:v>33373</c:v>
                </c:pt>
                <c:pt idx="11">
                  <c:v>37167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02-40D0-A3E2-B3D6CE2CE582}"/>
            </c:ext>
          </c:extLst>
        </c:ser>
        <c:ser>
          <c:idx val="2"/>
          <c:order val="2"/>
          <c:tx>
            <c:strRef>
              <c:f>'PC-sales-countries-World-123'!$B$39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'PC-sales-countries-World-123'!$C$39:$N$39</c:f>
              <c:numCache>
                <c:formatCode>_-* #,##0\ _F_-;\-* #,##0\ _F_-;_-* "-"??\ _F_-;_-@_-</c:formatCode>
                <c:ptCount val="12"/>
                <c:pt idx="0">
                  <c:v>20559</c:v>
                </c:pt>
                <c:pt idx="1">
                  <c:v>23985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2-40D0-A3E2-B3D6CE2CE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97856"/>
        <c:axId val="48047232"/>
      </c:lineChart>
      <c:catAx>
        <c:axId val="36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47232"/>
        <c:crosses val="autoZero"/>
        <c:auto val="1"/>
        <c:lblAlgn val="ctr"/>
        <c:lblOffset val="100"/>
        <c:noMultiLvlLbl val="0"/>
      </c:catAx>
      <c:valAx>
        <c:axId val="4804723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669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236539876959824"/>
          <c:w val="0.12639968689245468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'PC-sales-countries-Cumul-World'!$B$80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'PC-sales-countries-Cumul-World'!$C$80:$N$80</c:f>
              <c:numCache>
                <c:formatCode>_-* #,##0\ _F_-;\-* #,##0\ _F_-;_-* "-"??\ _F_-;_-@_-</c:formatCode>
                <c:ptCount val="12"/>
                <c:pt idx="0">
                  <c:v>9337</c:v>
                </c:pt>
                <c:pt idx="1">
                  <c:v>17953</c:v>
                </c:pt>
                <c:pt idx="2">
                  <c:v>28978</c:v>
                </c:pt>
                <c:pt idx="3">
                  <c:v>37447</c:v>
                </c:pt>
                <c:pt idx="4">
                  <c:v>47645</c:v>
                </c:pt>
                <c:pt idx="5">
                  <c:v>58712</c:v>
                </c:pt>
                <c:pt idx="6">
                  <c:v>70028</c:v>
                </c:pt>
                <c:pt idx="7">
                  <c:v>83349</c:v>
                </c:pt>
                <c:pt idx="8">
                  <c:v>95276</c:v>
                </c:pt>
                <c:pt idx="9">
                  <c:v>105817</c:v>
                </c:pt>
                <c:pt idx="10">
                  <c:v>116891</c:v>
                </c:pt>
                <c:pt idx="11">
                  <c:v>129328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5-4FE6-BEF9-909356C6F789}"/>
            </c:ext>
          </c:extLst>
        </c:ser>
        <c:ser>
          <c:idx val="1"/>
          <c:order val="1"/>
          <c:tx>
            <c:strRef>
              <c:f>'PC-sales-countries-Cumul-World'!$B$81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'PC-sales-countries-Cumul-World'!$C$81:$N$81</c:f>
              <c:numCache>
                <c:formatCode>_-* #,##0\ _F_-;\-* #,##0\ _F_-;_-* "-"??\ _F_-;_-@_-</c:formatCode>
                <c:ptCount val="12"/>
                <c:pt idx="0">
                  <c:v>12134</c:v>
                </c:pt>
                <c:pt idx="1">
                  <c:v>24715</c:v>
                </c:pt>
                <c:pt idx="2">
                  <c:v>36966</c:v>
                </c:pt>
                <c:pt idx="3">
                  <c:v>46831</c:v>
                </c:pt>
                <c:pt idx="4">
                  <c:v>60472</c:v>
                </c:pt>
                <c:pt idx="5">
                  <c:v>72787</c:v>
                </c:pt>
                <c:pt idx="6">
                  <c:v>86218</c:v>
                </c:pt>
                <c:pt idx="7">
                  <c:v>98968</c:v>
                </c:pt>
                <c:pt idx="8">
                  <c:v>110711</c:v>
                </c:pt>
                <c:pt idx="9">
                  <c:v>122104</c:v>
                </c:pt>
                <c:pt idx="10">
                  <c:v>131602</c:v>
                </c:pt>
                <c:pt idx="11">
                  <c:v>144611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2-4A24-8890-23F3F2549B10}"/>
            </c:ext>
          </c:extLst>
        </c:ser>
        <c:ser>
          <c:idx val="2"/>
          <c:order val="2"/>
          <c:tx>
            <c:strRef>
              <c:f>'PC-sales-countries-Cumul-World'!$B$82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'PC-sales-countries-Cumul-World'!$C$82:$N$82</c:f>
              <c:numCache>
                <c:formatCode>_-* #,##0\ _F_-;\-* #,##0\ _F_-;_-* "-"??\ _F_-;_-@_-</c:formatCode>
                <c:ptCount val="12"/>
                <c:pt idx="0">
                  <c:v>12733</c:v>
                </c:pt>
                <c:pt idx="1">
                  <c:v>24218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2-4A24-8890-23F3F2549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13216"/>
        <c:axId val="223114752"/>
      </c:lineChart>
      <c:catAx>
        <c:axId val="2231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114752"/>
        <c:crosses val="autoZero"/>
        <c:auto val="1"/>
        <c:lblAlgn val="ctr"/>
        <c:lblOffset val="100"/>
        <c:noMultiLvlLbl val="0"/>
      </c:catAx>
      <c:valAx>
        <c:axId val="22311475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11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3600661028483"/>
          <c:y val="0.38034009046741502"/>
          <c:w val="0.124439461883408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'PC-sales-countries-Cumul-World'!$B$83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'PC-sales-countries-Cumul-World'!$C$83:$N$83</c:f>
              <c:numCache>
                <c:formatCode>_-* #,##0\ _F_-;\-* #,##0\ _F_-;_-* "-"??\ _F_-;_-@_-</c:formatCode>
                <c:ptCount val="12"/>
                <c:pt idx="0">
                  <c:v>91662</c:v>
                </c:pt>
                <c:pt idx="1">
                  <c:v>206011</c:v>
                </c:pt>
                <c:pt idx="2">
                  <c:v>261140</c:v>
                </c:pt>
                <c:pt idx="3">
                  <c:v>293846</c:v>
                </c:pt>
                <c:pt idx="4">
                  <c:v>334306</c:v>
                </c:pt>
                <c:pt idx="5">
                  <c:v>370228</c:v>
                </c:pt>
                <c:pt idx="6">
                  <c:v>407173</c:v>
                </c:pt>
                <c:pt idx="7">
                  <c:v>428455</c:v>
                </c:pt>
                <c:pt idx="8">
                  <c:v>475153</c:v>
                </c:pt>
                <c:pt idx="9">
                  <c:v>520381</c:v>
                </c:pt>
                <c:pt idx="10">
                  <c:v>566784</c:v>
                </c:pt>
                <c:pt idx="11">
                  <c:v>630856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6-4C29-A9B0-E6C6B98E75F7}"/>
            </c:ext>
          </c:extLst>
        </c:ser>
        <c:ser>
          <c:idx val="1"/>
          <c:order val="1"/>
          <c:tx>
            <c:strRef>
              <c:f>'PC-sales-countries-Cumul-World'!$B$84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'PC-sales-countries-Cumul-World'!$C$84:$N$84</c:f>
              <c:numCache>
                <c:formatCode>_-* #,##0\ _F_-;\-* #,##0\ _F_-;_-* "-"??\ _F_-;_-@_-</c:formatCode>
                <c:ptCount val="12"/>
                <c:pt idx="0">
                  <c:v>52499</c:v>
                </c:pt>
                <c:pt idx="1">
                  <c:v>114350</c:v>
                </c:pt>
                <c:pt idx="2">
                  <c:v>182764</c:v>
                </c:pt>
                <c:pt idx="3">
                  <c:v>257034</c:v>
                </c:pt>
                <c:pt idx="4">
                  <c:v>328500</c:v>
                </c:pt>
                <c:pt idx="5">
                  <c:v>400779</c:v>
                </c:pt>
                <c:pt idx="6">
                  <c:v>473611</c:v>
                </c:pt>
                <c:pt idx="7">
                  <c:v>552943</c:v>
                </c:pt>
                <c:pt idx="8">
                  <c:v>628678</c:v>
                </c:pt>
                <c:pt idx="9">
                  <c:v>703939</c:v>
                </c:pt>
                <c:pt idx="10">
                  <c:v>779200</c:v>
                </c:pt>
                <c:pt idx="11">
                  <c:v>855122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2AB-B0B9-49D69E0240BE}"/>
            </c:ext>
          </c:extLst>
        </c:ser>
        <c:ser>
          <c:idx val="2"/>
          <c:order val="2"/>
          <c:tx>
            <c:strRef>
              <c:f>'PC-sales-countries-Cumul-World'!$B$85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'PC-sales-countries-Cumul-World'!$C$85:$N$85</c:f>
              <c:numCache>
                <c:formatCode>_-* #,##0\ _F_-;\-* #,##0\ _F_-;_-* "-"??\ _F_-;_-@_-</c:formatCode>
                <c:ptCount val="12"/>
                <c:pt idx="0">
                  <c:v>38561</c:v>
                </c:pt>
                <c:pt idx="1">
                  <c:v>192322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1-42AB-B0B9-49D69E02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33056"/>
        <c:axId val="223556736"/>
      </c:lineChart>
      <c:catAx>
        <c:axId val="223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556736"/>
        <c:crosses val="autoZero"/>
        <c:auto val="1"/>
        <c:lblAlgn val="ctr"/>
        <c:lblOffset val="100"/>
        <c:noMultiLvlLbl val="0"/>
      </c:catAx>
      <c:valAx>
        <c:axId val="22355673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1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9877755006651"/>
          <c:y val="0.38034002381002113"/>
          <c:w val="0.12661598853567088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'PC-sales-countries-Cumul-World'!$B$86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'PC-sales-countries-Cumul-World'!$C$86:$N$86</c:f>
              <c:numCache>
                <c:formatCode>_-* #,##0\ _F_-;\-* #,##0\ _F_-;_-* "-"??\ _F_-;_-@_-</c:formatCode>
                <c:ptCount val="12"/>
                <c:pt idx="0">
                  <c:v>5739</c:v>
                </c:pt>
                <c:pt idx="1">
                  <c:v>11745</c:v>
                </c:pt>
                <c:pt idx="2">
                  <c:v>19221</c:v>
                </c:pt>
                <c:pt idx="3">
                  <c:v>25279</c:v>
                </c:pt>
                <c:pt idx="4">
                  <c:v>31929</c:v>
                </c:pt>
                <c:pt idx="5">
                  <c:v>39953</c:v>
                </c:pt>
                <c:pt idx="6">
                  <c:v>46174</c:v>
                </c:pt>
                <c:pt idx="7">
                  <c:v>52869</c:v>
                </c:pt>
                <c:pt idx="8">
                  <c:v>58106</c:v>
                </c:pt>
                <c:pt idx="9">
                  <c:v>65834</c:v>
                </c:pt>
                <c:pt idx="10">
                  <c:v>72810</c:v>
                </c:pt>
                <c:pt idx="11">
                  <c:v>79259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3-4296-A996-2198440E2261}"/>
            </c:ext>
          </c:extLst>
        </c:ser>
        <c:ser>
          <c:idx val="1"/>
          <c:order val="1"/>
          <c:tx>
            <c:strRef>
              <c:f>'PC-sales-countries-Cumul-World'!$B$87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'PC-sales-countries-Cumul-World'!$C$87:$N$87</c:f>
              <c:numCache>
                <c:formatCode>_-* #,##0\ _F_-;\-* #,##0\ _F_-;_-* "-"??\ _F_-;_-@_-</c:formatCode>
                <c:ptCount val="12"/>
                <c:pt idx="0">
                  <c:v>6680</c:v>
                </c:pt>
                <c:pt idx="1">
                  <c:v>13303</c:v>
                </c:pt>
                <c:pt idx="2">
                  <c:v>22155</c:v>
                </c:pt>
                <c:pt idx="3">
                  <c:v>29047</c:v>
                </c:pt>
                <c:pt idx="4">
                  <c:v>37086</c:v>
                </c:pt>
                <c:pt idx="5">
                  <c:v>45457</c:v>
                </c:pt>
                <c:pt idx="6">
                  <c:v>54307</c:v>
                </c:pt>
                <c:pt idx="7">
                  <c:v>60945</c:v>
                </c:pt>
                <c:pt idx="8">
                  <c:v>67804</c:v>
                </c:pt>
                <c:pt idx="9">
                  <c:v>75611</c:v>
                </c:pt>
                <c:pt idx="10">
                  <c:v>82675</c:v>
                </c:pt>
                <c:pt idx="11">
                  <c:v>88003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3-4225-A152-D01D8A17DD31}"/>
            </c:ext>
          </c:extLst>
        </c:ser>
        <c:ser>
          <c:idx val="2"/>
          <c:order val="2"/>
          <c:tx>
            <c:strRef>
              <c:f>'PC-sales-countries-Cumul-World'!$B$88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'PC-sales-countries-Cumul-World'!$C$88:$N$88</c:f>
              <c:numCache>
                <c:formatCode>_-* #,##0\ _F_-;\-* #,##0\ _F_-;_-* "-"??\ _F_-;_-@_-</c:formatCode>
                <c:ptCount val="12"/>
                <c:pt idx="0">
                  <c:v>7935</c:v>
                </c:pt>
                <c:pt idx="1">
                  <c:v>15637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3-4225-A152-D01D8A17D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3616"/>
        <c:axId val="223589504"/>
      </c:lineChart>
      <c:catAx>
        <c:axId val="2235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589504"/>
        <c:crosses val="autoZero"/>
        <c:auto val="1"/>
        <c:lblAlgn val="ctr"/>
        <c:lblOffset val="100"/>
        <c:noMultiLvlLbl val="0"/>
      </c:catAx>
      <c:valAx>
        <c:axId val="22358950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5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236539876959824"/>
          <c:w val="0.1273179220273688"/>
          <c:h val="0.1924393493922639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'PC-sales-countries-Cumul-World'!$B$89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'PC-sales-countries-Cumul-World'!$C$89:$N$89</c:f>
              <c:numCache>
                <c:formatCode>_-* #,##0\ _F_-;\-* #,##0\ _F_-;_-* "-"??\ _F_-;_-@_-</c:formatCode>
                <c:ptCount val="12"/>
                <c:pt idx="0">
                  <c:v>4320</c:v>
                </c:pt>
                <c:pt idx="1">
                  <c:v>8125</c:v>
                </c:pt>
                <c:pt idx="2">
                  <c:v>12752</c:v>
                </c:pt>
                <c:pt idx="3">
                  <c:v>16670</c:v>
                </c:pt>
                <c:pt idx="4">
                  <c:v>21454</c:v>
                </c:pt>
                <c:pt idx="5">
                  <c:v>25847</c:v>
                </c:pt>
                <c:pt idx="6">
                  <c:v>29847</c:v>
                </c:pt>
                <c:pt idx="7">
                  <c:v>32982</c:v>
                </c:pt>
                <c:pt idx="8">
                  <c:v>36758</c:v>
                </c:pt>
                <c:pt idx="9">
                  <c:v>40191</c:v>
                </c:pt>
                <c:pt idx="10">
                  <c:v>43814</c:v>
                </c:pt>
                <c:pt idx="11">
                  <c:v>46339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3-48F2-BBA0-6CB2CD5A15B2}"/>
            </c:ext>
          </c:extLst>
        </c:ser>
        <c:ser>
          <c:idx val="1"/>
          <c:order val="1"/>
          <c:tx>
            <c:strRef>
              <c:f>'PC-sales-countries-Cumul-World'!$B$90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'PC-sales-countries-Cumul-World'!$C$90:$N$90</c:f>
              <c:numCache>
                <c:formatCode>_-* #,##0\ _F_-;\-* #,##0\ _F_-;_-* "-"??\ _F_-;_-@_-</c:formatCode>
                <c:ptCount val="12"/>
                <c:pt idx="0">
                  <c:v>4425</c:v>
                </c:pt>
                <c:pt idx="1">
                  <c:v>8195</c:v>
                </c:pt>
                <c:pt idx="2">
                  <c:v>13450</c:v>
                </c:pt>
                <c:pt idx="3">
                  <c:v>17788</c:v>
                </c:pt>
                <c:pt idx="4">
                  <c:v>22641</c:v>
                </c:pt>
                <c:pt idx="5">
                  <c:v>27310</c:v>
                </c:pt>
                <c:pt idx="6">
                  <c:v>31310</c:v>
                </c:pt>
                <c:pt idx="7">
                  <c:v>34326</c:v>
                </c:pt>
                <c:pt idx="8">
                  <c:v>38377</c:v>
                </c:pt>
                <c:pt idx="9">
                  <c:v>42258</c:v>
                </c:pt>
                <c:pt idx="10">
                  <c:v>46118</c:v>
                </c:pt>
                <c:pt idx="11">
                  <c:v>48809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3-4FDB-8572-BB474D600D25}"/>
            </c:ext>
          </c:extLst>
        </c:ser>
        <c:ser>
          <c:idx val="2"/>
          <c:order val="2"/>
          <c:tx>
            <c:strRef>
              <c:f>'PC-sales-countries-Cumul-World'!$B$91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'PC-sales-countries-Cumul-World'!$C$91:$N$91</c:f>
              <c:numCache>
                <c:formatCode>_-* #,##0\ _F_-;\-* #,##0\ _F_-;_-* "-"??\ _F_-;_-@_-</c:formatCode>
                <c:ptCount val="12"/>
                <c:pt idx="0">
                  <c:v>4543</c:v>
                </c:pt>
                <c:pt idx="1">
                  <c:v>8721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3-4FDB-8572-BB474D600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16384"/>
        <c:axId val="223626368"/>
      </c:lineChart>
      <c:catAx>
        <c:axId val="2236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26368"/>
        <c:crosses val="autoZero"/>
        <c:auto val="1"/>
        <c:lblAlgn val="ctr"/>
        <c:lblOffset val="100"/>
        <c:noMultiLvlLbl val="0"/>
      </c:catAx>
      <c:valAx>
        <c:axId val="22362636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1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112036786958359"/>
          <c:w val="0.12485939257592801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'PC-sales-countries-Cumul-World'!$B$92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'PC-sales-countries-Cumul-World'!$C$92:$N$92</c:f>
              <c:numCache>
                <c:formatCode>_-* #,##0\ _F_-;\-* #,##0\ _F_-;_-* "-"??\ _F_-;_-@_-</c:formatCode>
                <c:ptCount val="12"/>
                <c:pt idx="0">
                  <c:v>42377</c:v>
                </c:pt>
                <c:pt idx="1">
                  <c:v>104480</c:v>
                </c:pt>
                <c:pt idx="2">
                  <c:v>164399</c:v>
                </c:pt>
                <c:pt idx="3">
                  <c:v>233509</c:v>
                </c:pt>
                <c:pt idx="4">
                  <c:v>318488</c:v>
                </c:pt>
                <c:pt idx="5">
                  <c:v>407757</c:v>
                </c:pt>
                <c:pt idx="6">
                  <c:v>481135</c:v>
                </c:pt>
                <c:pt idx="7">
                  <c:v>533042</c:v>
                </c:pt>
                <c:pt idx="8">
                  <c:v>600281</c:v>
                </c:pt>
                <c:pt idx="9">
                  <c:v>666247</c:v>
                </c:pt>
                <c:pt idx="10">
                  <c:v>739469</c:v>
                </c:pt>
                <c:pt idx="11">
                  <c:v>813396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1-41D1-BEE6-1B64A83E26FC}"/>
            </c:ext>
          </c:extLst>
        </c:ser>
        <c:ser>
          <c:idx val="1"/>
          <c:order val="1"/>
          <c:tx>
            <c:strRef>
              <c:f>'PC-sales-countries-Cumul-World'!$B$93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'PC-sales-countries-Cumul-World'!$C$93:$N$93</c:f>
              <c:numCache>
                <c:formatCode>_-* #,##0\ _F_-;\-* #,##0\ _F_-;_-* "-"??\ _F_-;_-@_-</c:formatCode>
                <c:ptCount val="12"/>
                <c:pt idx="0">
                  <c:v>64147</c:v>
                </c:pt>
                <c:pt idx="1">
                  <c:v>138039</c:v>
                </c:pt>
                <c:pt idx="2">
                  <c:v>237563</c:v>
                </c:pt>
                <c:pt idx="3">
                  <c:v>312314</c:v>
                </c:pt>
                <c:pt idx="4">
                  <c:v>404337</c:v>
                </c:pt>
                <c:pt idx="5">
                  <c:v>505421</c:v>
                </c:pt>
                <c:pt idx="6">
                  <c:v>586626</c:v>
                </c:pt>
                <c:pt idx="7">
                  <c:v>642470</c:v>
                </c:pt>
                <c:pt idx="8">
                  <c:v>711270</c:v>
                </c:pt>
                <c:pt idx="9">
                  <c:v>789162</c:v>
                </c:pt>
                <c:pt idx="10">
                  <c:v>868236</c:v>
                </c:pt>
                <c:pt idx="11">
                  <c:v>949249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B-4182-B94C-4F14C84FC982}"/>
            </c:ext>
          </c:extLst>
        </c:ser>
        <c:ser>
          <c:idx val="2"/>
          <c:order val="2"/>
          <c:tx>
            <c:strRef>
              <c:f>'PC-sales-countries-Cumul-World'!$B$94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'PC-sales-countries-Cumul-World'!$C$94:$N$94</c:f>
              <c:numCache>
                <c:formatCode>_-* #,##0\ _F_-;\-* #,##0\ _F_-;_-* "-"??\ _F_-;_-@_-</c:formatCode>
                <c:ptCount val="12"/>
                <c:pt idx="0">
                  <c:v>68685</c:v>
                </c:pt>
                <c:pt idx="1">
                  <c:v>150033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B-4182-B94C-4F14C84F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65536"/>
        <c:axId val="223683712"/>
      </c:lineChart>
      <c:catAx>
        <c:axId val="2236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83712"/>
        <c:crosses val="autoZero"/>
        <c:auto val="1"/>
        <c:lblAlgn val="ctr"/>
        <c:lblOffset val="100"/>
        <c:noMultiLvlLbl val="0"/>
      </c:catAx>
      <c:valAx>
        <c:axId val="22368371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6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2381002113"/>
          <c:w val="0.12618417949178129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'PC-sales-countries-Cumul-World'!$B$95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'PC-sales-countries-Cumul-World'!$C$95:$N$95</c:f>
              <c:numCache>
                <c:formatCode>_-* #,##0\ _F_-;\-* #,##0\ _F_-;_-* "-"??\ _F_-;_-@_-</c:formatCode>
                <c:ptCount val="12"/>
                <c:pt idx="0">
                  <c:v>19893</c:v>
                </c:pt>
                <c:pt idx="1">
                  <c:v>41029</c:v>
                </c:pt>
                <c:pt idx="2">
                  <c:v>69739</c:v>
                </c:pt>
                <c:pt idx="3">
                  <c:v>91681</c:v>
                </c:pt>
                <c:pt idx="4">
                  <c:v>118094</c:v>
                </c:pt>
                <c:pt idx="5">
                  <c:v>144182</c:v>
                </c:pt>
                <c:pt idx="6">
                  <c:v>162016</c:v>
                </c:pt>
                <c:pt idx="7">
                  <c:v>182592</c:v>
                </c:pt>
                <c:pt idx="8">
                  <c:v>204640</c:v>
                </c:pt>
                <c:pt idx="9">
                  <c:v>227023</c:v>
                </c:pt>
                <c:pt idx="10">
                  <c:v>252611</c:v>
                </c:pt>
                <c:pt idx="11">
                  <c:v>288087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4-4C97-AA37-5994BE43406E}"/>
            </c:ext>
          </c:extLst>
        </c:ser>
        <c:ser>
          <c:idx val="1"/>
          <c:order val="1"/>
          <c:tx>
            <c:strRef>
              <c:f>'PC-sales-countries-Cumul-World'!$B$96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'PC-sales-countries-Cumul-World'!$C$96:$N$96</c:f>
              <c:numCache>
                <c:formatCode>_-* #,##0\ _F_-;\-* #,##0\ _F_-;_-* "-"??\ _F_-;_-@_-</c:formatCode>
                <c:ptCount val="12"/>
                <c:pt idx="0">
                  <c:v>14597</c:v>
                </c:pt>
                <c:pt idx="1">
                  <c:v>33043</c:v>
                </c:pt>
                <c:pt idx="2">
                  <c:v>63304</c:v>
                </c:pt>
                <c:pt idx="3">
                  <c:v>83890</c:v>
                </c:pt>
                <c:pt idx="4">
                  <c:v>112380</c:v>
                </c:pt>
                <c:pt idx="5">
                  <c:v>140663</c:v>
                </c:pt>
                <c:pt idx="6">
                  <c:v>157963</c:v>
                </c:pt>
                <c:pt idx="7">
                  <c:v>181834</c:v>
                </c:pt>
                <c:pt idx="8">
                  <c:v>209969</c:v>
                </c:pt>
                <c:pt idx="9">
                  <c:v>234985</c:v>
                </c:pt>
                <c:pt idx="10">
                  <c:v>260391</c:v>
                </c:pt>
                <c:pt idx="11">
                  <c:v>289665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4-4B5D-96B7-B7BBEC65DE8D}"/>
            </c:ext>
          </c:extLst>
        </c:ser>
        <c:ser>
          <c:idx val="2"/>
          <c:order val="2"/>
          <c:tx>
            <c:strRef>
              <c:f>'PC-sales-countries-Cumul-World'!$B$97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'PC-sales-countries-Cumul-World'!$C$97:$N$97</c:f>
              <c:numCache>
                <c:formatCode>_-* #,##0\ _F_-;\-* #,##0\ _F_-;_-* "-"??\ _F_-;_-@_-</c:formatCode>
                <c:ptCount val="12"/>
                <c:pt idx="0">
                  <c:v>17164</c:v>
                </c:pt>
                <c:pt idx="1">
                  <c:v>35930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E4-4B5D-96B7-B7BBEC65D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920"/>
        <c:axId val="223712000"/>
      </c:lineChart>
      <c:catAx>
        <c:axId val="2236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712000"/>
        <c:crosses val="autoZero"/>
        <c:auto val="1"/>
        <c:lblAlgn val="ctr"/>
        <c:lblOffset val="100"/>
        <c:noMultiLvlLbl val="0"/>
      </c:catAx>
      <c:valAx>
        <c:axId val="22371200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9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9046741502"/>
          <c:w val="0.127317922027368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'PC-sales-countries-Cumul-World'!$B$98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'PC-sales-countries-Cumul-World'!$C$98:$N$98</c:f>
              <c:numCache>
                <c:formatCode>_-* #,##0\ _F_-;\-* #,##0\ _F_-;_-* "-"??\ _F_-;_-@_-</c:formatCode>
                <c:ptCount val="12"/>
                <c:pt idx="0">
                  <c:v>15899</c:v>
                </c:pt>
                <c:pt idx="1">
                  <c:v>32505</c:v>
                </c:pt>
                <c:pt idx="2">
                  <c:v>54227</c:v>
                </c:pt>
                <c:pt idx="3">
                  <c:v>69873</c:v>
                </c:pt>
                <c:pt idx="4">
                  <c:v>88323</c:v>
                </c:pt>
                <c:pt idx="5">
                  <c:v>109599</c:v>
                </c:pt>
                <c:pt idx="6">
                  <c:v>125253</c:v>
                </c:pt>
                <c:pt idx="7">
                  <c:v>141658</c:v>
                </c:pt>
                <c:pt idx="8">
                  <c:v>162606</c:v>
                </c:pt>
                <c:pt idx="9">
                  <c:v>179791</c:v>
                </c:pt>
                <c:pt idx="10">
                  <c:v>201197</c:v>
                </c:pt>
                <c:pt idx="11">
                  <c:v>225934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D-481B-B65C-8EF980AAA0A0}"/>
            </c:ext>
          </c:extLst>
        </c:ser>
        <c:ser>
          <c:idx val="1"/>
          <c:order val="1"/>
          <c:tx>
            <c:strRef>
              <c:f>'PC-sales-countries-Cumul-World'!$B$99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'PC-sales-countries-Cumul-World'!$C$99:$N$99</c:f>
              <c:numCache>
                <c:formatCode>_-* #,##0\ _F_-;\-* #,##0\ _F_-;_-* "-"??\ _F_-;_-@_-</c:formatCode>
                <c:ptCount val="12"/>
                <c:pt idx="0">
                  <c:v>16437</c:v>
                </c:pt>
                <c:pt idx="1">
                  <c:v>33635</c:v>
                </c:pt>
                <c:pt idx="2">
                  <c:v>58802</c:v>
                </c:pt>
                <c:pt idx="3">
                  <c:v>76941</c:v>
                </c:pt>
                <c:pt idx="4">
                  <c:v>98538</c:v>
                </c:pt>
                <c:pt idx="5">
                  <c:v>123752</c:v>
                </c:pt>
                <c:pt idx="6">
                  <c:v>142474</c:v>
                </c:pt>
                <c:pt idx="7">
                  <c:v>161328</c:v>
                </c:pt>
                <c:pt idx="8">
                  <c:v>182906</c:v>
                </c:pt>
                <c:pt idx="9">
                  <c:v>203261</c:v>
                </c:pt>
                <c:pt idx="10">
                  <c:v>225266</c:v>
                </c:pt>
                <c:pt idx="11">
                  <c:v>252214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5-4EE6-A62A-1F1131A94C7E}"/>
            </c:ext>
          </c:extLst>
        </c:ser>
        <c:ser>
          <c:idx val="2"/>
          <c:order val="2"/>
          <c:tx>
            <c:strRef>
              <c:f>'PC-sales-countries-Cumul-World'!$B$100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'PC-sales-countries-Cumul-World'!$C$100:$N$100</c:f>
              <c:numCache>
                <c:formatCode>_-* #,##0\ _F_-;\-* #,##0\ _F_-;_-* "-"??\ _F_-;_-@_-</c:formatCode>
                <c:ptCount val="12"/>
                <c:pt idx="0">
                  <c:v>15236</c:v>
                </c:pt>
                <c:pt idx="1">
                  <c:v>33757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5-4EE6-A62A-1F1131A94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34784"/>
        <c:axId val="223826688"/>
      </c:lineChart>
      <c:catAx>
        <c:axId val="2237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826688"/>
        <c:crosses val="autoZero"/>
        <c:auto val="1"/>
        <c:lblAlgn val="ctr"/>
        <c:lblOffset val="100"/>
        <c:noMultiLvlLbl val="0"/>
      </c:catAx>
      <c:valAx>
        <c:axId val="2238266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73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1137431350484"/>
          <c:y val="0.38159090113735783"/>
          <c:w val="0.12423055400111919"/>
          <c:h val="0.1939756103438292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'PC-sales-countries-Cumul-World'!$B$101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'PC-sales-countries-Cumul-World'!$C$101:$N$101</c:f>
              <c:numCache>
                <c:formatCode>_-* #,##0\ _F_-;\-* #,##0\ _F_-;_-* "-"??\ _F_-;_-@_-</c:formatCode>
                <c:ptCount val="12"/>
                <c:pt idx="0">
                  <c:v>29020</c:v>
                </c:pt>
                <c:pt idx="1">
                  <c:v>66661</c:v>
                </c:pt>
                <c:pt idx="2">
                  <c:v>116834</c:v>
                </c:pt>
                <c:pt idx="3">
                  <c:v>162398</c:v>
                </c:pt>
                <c:pt idx="4">
                  <c:v>214148</c:v>
                </c:pt>
                <c:pt idx="5">
                  <c:v>278282</c:v>
                </c:pt>
                <c:pt idx="6">
                  <c:v>319313</c:v>
                </c:pt>
                <c:pt idx="7">
                  <c:v>354543</c:v>
                </c:pt>
                <c:pt idx="8">
                  <c:v>399224</c:v>
                </c:pt>
                <c:pt idx="9">
                  <c:v>446664</c:v>
                </c:pt>
                <c:pt idx="10">
                  <c:v>505886</c:v>
                </c:pt>
                <c:pt idx="11">
                  <c:v>592660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759-AF59-55B810CDA6AD}"/>
            </c:ext>
          </c:extLst>
        </c:ser>
        <c:ser>
          <c:idx val="1"/>
          <c:order val="1"/>
          <c:tx>
            <c:strRef>
              <c:f>'PC-sales-countries-Cumul-World'!$B$102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'PC-sales-countries-Cumul-World'!$C$102:$N$102</c:f>
              <c:numCache>
                <c:formatCode>_-* #,##0\ _F_-;\-* #,##0\ _F_-;_-* "-"??\ _F_-;_-@_-</c:formatCode>
                <c:ptCount val="12"/>
                <c:pt idx="0">
                  <c:v>37288</c:v>
                </c:pt>
                <c:pt idx="1">
                  <c:v>96195</c:v>
                </c:pt>
                <c:pt idx="2">
                  <c:v>175421</c:v>
                </c:pt>
                <c:pt idx="3">
                  <c:v>252819</c:v>
                </c:pt>
                <c:pt idx="4">
                  <c:v>340037</c:v>
                </c:pt>
                <c:pt idx="5">
                  <c:v>429870</c:v>
                </c:pt>
                <c:pt idx="6">
                  <c:v>515786</c:v>
                </c:pt>
                <c:pt idx="7">
                  <c:v>581917</c:v>
                </c:pt>
                <c:pt idx="8">
                  <c:v>660888</c:v>
                </c:pt>
                <c:pt idx="9">
                  <c:v>743499</c:v>
                </c:pt>
                <c:pt idx="10">
                  <c:v>834923</c:v>
                </c:pt>
                <c:pt idx="11">
                  <c:v>961339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4-4A94-B140-39A38A9276FA}"/>
            </c:ext>
          </c:extLst>
        </c:ser>
        <c:ser>
          <c:idx val="2"/>
          <c:order val="2"/>
          <c:tx>
            <c:strRef>
              <c:f>'PC-sales-countries-Cumul-World'!$B$103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'PC-sales-countries-Cumul-World'!$C$103:$N$103</c:f>
              <c:numCache>
                <c:formatCode>_-* #,##0\ _F_-;\-* #,##0\ _F_-;_-* "-"??\ _F_-;_-@_-</c:formatCode>
                <c:ptCount val="12"/>
                <c:pt idx="0">
                  <c:v>64041</c:v>
                </c:pt>
                <c:pt idx="1">
                  <c:v>146318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4-4A94-B140-39A38A927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74048"/>
        <c:axId val="223879936"/>
      </c:lineChart>
      <c:catAx>
        <c:axId val="22387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879936"/>
        <c:crosses val="autoZero"/>
        <c:auto val="1"/>
        <c:lblAlgn val="ctr"/>
        <c:lblOffset val="100"/>
        <c:noMultiLvlLbl val="0"/>
      </c:catAx>
      <c:valAx>
        <c:axId val="22387993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87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7954966524906314"/>
          <c:w val="0.12596937756544094"/>
          <c:h val="0.19449318528878176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'PC-sales-countries-Cumul-World'!$B$104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'PC-sales-countries-Cumul-World'!$C$104:$N$104</c:f>
              <c:numCache>
                <c:formatCode>_-* #,##0\ _F_-;\-* #,##0\ _F_-;_-* "-"??\ _F_-;_-@_-</c:formatCode>
                <c:ptCount val="12"/>
                <c:pt idx="0">
                  <c:v>115087</c:v>
                </c:pt>
                <c:pt idx="1">
                  <c:v>174081</c:v>
                </c:pt>
                <c:pt idx="2">
                  <c:v>417560</c:v>
                </c:pt>
                <c:pt idx="3">
                  <c:v>536727</c:v>
                </c:pt>
                <c:pt idx="4">
                  <c:v>661121</c:v>
                </c:pt>
                <c:pt idx="5">
                  <c:v>802079</c:v>
                </c:pt>
                <c:pt idx="6">
                  <c:v>914241</c:v>
                </c:pt>
                <c:pt idx="7">
                  <c:v>983099</c:v>
                </c:pt>
                <c:pt idx="8">
                  <c:v>1208368</c:v>
                </c:pt>
                <c:pt idx="9">
                  <c:v>1342712</c:v>
                </c:pt>
                <c:pt idx="10">
                  <c:v>1485601</c:v>
                </c:pt>
                <c:pt idx="11">
                  <c:v>1614063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B-46CA-B582-BCAF9B237A37}"/>
            </c:ext>
          </c:extLst>
        </c:ser>
        <c:ser>
          <c:idx val="1"/>
          <c:order val="1"/>
          <c:tx>
            <c:strRef>
              <c:f>'PC-sales-countries-Cumul-World'!$B$105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'PC-sales-countries-Cumul-World'!$C$105:$N$105</c:f>
              <c:numCache>
                <c:formatCode>_-* #,##0\ _F_-;\-* #,##0\ _F_-;_-* "-"??\ _F_-;_-@_-</c:formatCode>
                <c:ptCount val="12"/>
                <c:pt idx="0">
                  <c:v>131994</c:v>
                </c:pt>
                <c:pt idx="1">
                  <c:v>206435</c:v>
                </c:pt>
                <c:pt idx="2">
                  <c:v>494260</c:v>
                </c:pt>
                <c:pt idx="3">
                  <c:v>627250</c:v>
                </c:pt>
                <c:pt idx="4">
                  <c:v>772454</c:v>
                </c:pt>
                <c:pt idx="5">
                  <c:v>949720</c:v>
                </c:pt>
                <c:pt idx="6">
                  <c:v>1120631</c:v>
                </c:pt>
                <c:pt idx="7">
                  <c:v>1179298</c:v>
                </c:pt>
                <c:pt idx="8">
                  <c:v>1451908</c:v>
                </c:pt>
                <c:pt idx="9">
                  <c:v>1605437</c:v>
                </c:pt>
                <c:pt idx="10">
                  <c:v>1761962</c:v>
                </c:pt>
                <c:pt idx="11">
                  <c:v>1903054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D-4261-9E1E-6BFFE3B42CC2}"/>
            </c:ext>
          </c:extLst>
        </c:ser>
        <c:ser>
          <c:idx val="2"/>
          <c:order val="2"/>
          <c:tx>
            <c:strRef>
              <c:f>'PC-sales-countries-Cumul-World'!$B$106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'PC-sales-countries-Cumul-World'!$C$106:$N$106</c:f>
              <c:numCache>
                <c:formatCode>_-* #,##0\ _F_-;\-* #,##0\ _F_-;_-* "-"??\ _F_-;_-@_-</c:formatCode>
                <c:ptCount val="12"/>
                <c:pt idx="0">
                  <c:v>142876</c:v>
                </c:pt>
                <c:pt idx="1">
                  <c:v>227762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ED-4261-9E1E-6BFFE3B42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15008"/>
        <c:axId val="223916800"/>
      </c:lineChart>
      <c:catAx>
        <c:axId val="2239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916800"/>
        <c:crosses val="autoZero"/>
        <c:auto val="1"/>
        <c:lblAlgn val="ctr"/>
        <c:lblOffset val="100"/>
        <c:noMultiLvlLbl val="0"/>
      </c:catAx>
      <c:valAx>
        <c:axId val="22391680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91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3254321189135"/>
          <c:y val="0.38112036786958359"/>
          <c:w val="0.12775753890240624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'PC-sales-countries-Cumul-World'!$B$107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'PC-sales-countries-Cumul-World'!$C$107:$N$107</c:f>
              <c:numCache>
                <c:formatCode>_-* #,##0\ _F_-;\-* #,##0\ _F_-;_-* "-"??\ _F_-;_-@_-</c:formatCode>
                <c:ptCount val="12"/>
                <c:pt idx="0">
                  <c:v>5323</c:v>
                </c:pt>
                <c:pt idx="1">
                  <c:v>5323</c:v>
                </c:pt>
                <c:pt idx="2">
                  <c:v>11194</c:v>
                </c:pt>
                <c:pt idx="3">
                  <c:v>11194</c:v>
                </c:pt>
                <c:pt idx="4">
                  <c:v>14926</c:v>
                </c:pt>
                <c:pt idx="5">
                  <c:v>17828</c:v>
                </c:pt>
                <c:pt idx="6">
                  <c:v>21475</c:v>
                </c:pt>
                <c:pt idx="7">
                  <c:v>24399</c:v>
                </c:pt>
                <c:pt idx="8">
                  <c:v>27799</c:v>
                </c:pt>
                <c:pt idx="9">
                  <c:v>30938</c:v>
                </c:pt>
                <c:pt idx="10">
                  <c:v>34028</c:v>
                </c:pt>
                <c:pt idx="11">
                  <c:v>37888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5-427C-9C34-1C9D9C3E91C8}"/>
            </c:ext>
          </c:extLst>
        </c:ser>
        <c:ser>
          <c:idx val="1"/>
          <c:order val="1"/>
          <c:tx>
            <c:strRef>
              <c:f>'PC-sales-countries-Cumul-World'!$B$108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'PC-sales-countries-Cumul-World'!$C$108:$N$108</c:f>
              <c:numCache>
                <c:formatCode>_-* #,##0\ _F_-;\-* #,##0\ _F_-;_-* "-"??\ _F_-;_-@_-</c:formatCode>
                <c:ptCount val="12"/>
                <c:pt idx="0">
                  <c:v>2958</c:v>
                </c:pt>
                <c:pt idx="1">
                  <c:v>6688</c:v>
                </c:pt>
                <c:pt idx="2">
                  <c:v>11199</c:v>
                </c:pt>
                <c:pt idx="3">
                  <c:v>16359</c:v>
                </c:pt>
                <c:pt idx="4">
                  <c:v>21477</c:v>
                </c:pt>
                <c:pt idx="5">
                  <c:v>27058</c:v>
                </c:pt>
                <c:pt idx="6">
                  <c:v>32369</c:v>
                </c:pt>
                <c:pt idx="7">
                  <c:v>38159</c:v>
                </c:pt>
                <c:pt idx="8">
                  <c:v>43852</c:v>
                </c:pt>
                <c:pt idx="9">
                  <c:v>49587</c:v>
                </c:pt>
                <c:pt idx="10">
                  <c:v>54972</c:v>
                </c:pt>
                <c:pt idx="11">
                  <c:v>60862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FE-4328-BAF9-B0E62243679A}"/>
            </c:ext>
          </c:extLst>
        </c:ser>
        <c:ser>
          <c:idx val="2"/>
          <c:order val="2"/>
          <c:tx>
            <c:strRef>
              <c:f>'PC-sales-countries-Cumul-World'!$B$109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'PC-sales-countries-Cumul-World'!$C$109:$N$109</c:f>
              <c:numCache>
                <c:formatCode>_-* #,##0\ _F_-;\-* #,##0\ _F_-;_-* "-"??\ _F_-;_-@_-</c:formatCode>
                <c:ptCount val="12"/>
                <c:pt idx="0">
                  <c:v>4363</c:v>
                </c:pt>
                <c:pt idx="1">
                  <c:v>10013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E-4328-BAF9-B0E622436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26528"/>
        <c:axId val="224018432"/>
      </c:lineChart>
      <c:catAx>
        <c:axId val="2239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018432"/>
        <c:crosses val="autoZero"/>
        <c:auto val="1"/>
        <c:lblAlgn val="ctr"/>
        <c:lblOffset val="100"/>
        <c:noMultiLvlLbl val="0"/>
      </c:catAx>
      <c:valAx>
        <c:axId val="22401843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926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0724444917362"/>
          <c:y val="0.38112036786958359"/>
          <c:w val="0.12485939257592801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'PC-sales-countries-World-123'!$B$40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'PC-sales-countries-World-123'!$C$40:$N$40</c:f>
              <c:numCache>
                <c:formatCode>_-* #,##0\ _F_-;\-* #,##0\ _F_-;_-* "-"??\ _F_-;_-@_-</c:formatCode>
                <c:ptCount val="12"/>
                <c:pt idx="0">
                  <c:v>102906</c:v>
                </c:pt>
                <c:pt idx="1">
                  <c:v>115403</c:v>
                </c:pt>
                <c:pt idx="2">
                  <c:v>147098</c:v>
                </c:pt>
                <c:pt idx="3">
                  <c:v>108733</c:v>
                </c:pt>
                <c:pt idx="4">
                  <c:v>126819</c:v>
                </c:pt>
                <c:pt idx="5">
                  <c:v>171112</c:v>
                </c:pt>
                <c:pt idx="6">
                  <c:v>107551</c:v>
                </c:pt>
                <c:pt idx="7">
                  <c:v>91411</c:v>
                </c:pt>
                <c:pt idx="8">
                  <c:v>141155</c:v>
                </c:pt>
                <c:pt idx="9">
                  <c:v>124998</c:v>
                </c:pt>
                <c:pt idx="10">
                  <c:v>133970</c:v>
                </c:pt>
                <c:pt idx="11">
                  <c:v>158027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A-45E6-8624-ACCCE116E5B6}"/>
            </c:ext>
          </c:extLst>
        </c:ser>
        <c:ser>
          <c:idx val="1"/>
          <c:order val="1"/>
          <c:tx>
            <c:strRef>
              <c:f>'PC-sales-countries-World-123'!$B$41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'PC-sales-countries-World-123'!$C$41:$N$41</c:f>
              <c:numCache>
                <c:formatCode>_-* #,##0\ _F_-;\-* #,##0\ _F_-;_-* "-"??\ _F_-;_-@_-</c:formatCode>
                <c:ptCount val="12"/>
                <c:pt idx="0">
                  <c:v>111976</c:v>
                </c:pt>
                <c:pt idx="1">
                  <c:v>126199</c:v>
                </c:pt>
                <c:pt idx="2">
                  <c:v>182729</c:v>
                </c:pt>
                <c:pt idx="3">
                  <c:v>132510</c:v>
                </c:pt>
                <c:pt idx="4">
                  <c:v>145538</c:v>
                </c:pt>
                <c:pt idx="5">
                  <c:v>190854</c:v>
                </c:pt>
                <c:pt idx="6">
                  <c:v>128948</c:v>
                </c:pt>
                <c:pt idx="7">
                  <c:v>113567</c:v>
                </c:pt>
                <c:pt idx="8">
                  <c:v>156303</c:v>
                </c:pt>
                <c:pt idx="9">
                  <c:v>152421</c:v>
                </c:pt>
                <c:pt idx="10">
                  <c:v>152717</c:v>
                </c:pt>
                <c:pt idx="11">
                  <c:v>181010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D-4129-88AE-2A3C1AEEC32D}"/>
            </c:ext>
          </c:extLst>
        </c:ser>
        <c:ser>
          <c:idx val="2"/>
          <c:order val="2"/>
          <c:tx>
            <c:strRef>
              <c:f>'PC-sales-countries-World-123'!$B$42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'PC-sales-countries-World-123'!$C$42:$N$42</c:f>
              <c:numCache>
                <c:formatCode>_-* #,##0\ _F_-;\-* #,##0\ _F_-;_-* "-"??\ _F_-;_-@_-</c:formatCode>
                <c:ptCount val="12"/>
                <c:pt idx="0">
                  <c:v>122290</c:v>
                </c:pt>
                <c:pt idx="1">
                  <c:v>142602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D-4129-88AE-2A3C1AEEC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7728"/>
        <c:axId val="48092288"/>
      </c:lineChart>
      <c:catAx>
        <c:axId val="48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92288"/>
        <c:crosses val="autoZero"/>
        <c:auto val="1"/>
        <c:lblAlgn val="ctr"/>
        <c:lblOffset val="100"/>
        <c:noMultiLvlLbl val="0"/>
      </c:catAx>
      <c:valAx>
        <c:axId val="480922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05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25203164048"/>
          <c:y val="0.38034009046741502"/>
          <c:w val="0.12709924619066285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'PC-sales-countries-Cumul-World'!$B$110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'PC-sales-countries-Cumul-World'!$C$110:$N$110</c:f>
              <c:numCache>
                <c:formatCode>_-* #,##0\ _F_-;\-* #,##0\ _F_-;_-* "-"??\ _F_-;_-@_-</c:formatCode>
                <c:ptCount val="12"/>
                <c:pt idx="0">
                  <c:v>778808</c:v>
                </c:pt>
                <c:pt idx="1">
                  <c:v>1608934</c:v>
                </c:pt>
                <c:pt idx="2">
                  <c:v>2548936</c:v>
                </c:pt>
                <c:pt idx="3">
                  <c:v>3532635</c:v>
                </c:pt>
                <c:pt idx="4">
                  <c:v>4599677</c:v>
                </c:pt>
                <c:pt idx="5">
                  <c:v>5516512</c:v>
                </c:pt>
                <c:pt idx="6">
                  <c:v>6427559</c:v>
                </c:pt>
                <c:pt idx="7">
                  <c:v>7447569</c:v>
                </c:pt>
                <c:pt idx="8">
                  <c:v>8371583</c:v>
                </c:pt>
                <c:pt idx="9">
                  <c:v>9324445</c:v>
                </c:pt>
                <c:pt idx="10">
                  <c:v>10242399</c:v>
                </c:pt>
                <c:pt idx="11">
                  <c:v>11329769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4-45AF-A6D6-CEBAA59A8C80}"/>
            </c:ext>
          </c:extLst>
        </c:ser>
        <c:ser>
          <c:idx val="1"/>
          <c:order val="1"/>
          <c:tx>
            <c:strRef>
              <c:f>'PC-sales-countries-Cumul-World'!$B$111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'PC-sales-countries-Cumul-World'!$C$111:$N$111</c:f>
              <c:numCache>
                <c:formatCode>_-* #,##0\ _F_-;\-* #,##0\ _F_-;_-* "-"??\ _F_-;_-@_-</c:formatCode>
                <c:ptCount val="12"/>
                <c:pt idx="0">
                  <c:v>858019</c:v>
                </c:pt>
                <c:pt idx="1">
                  <c:v>1807142</c:v>
                </c:pt>
                <c:pt idx="2">
                  <c:v>2949613</c:v>
                </c:pt>
                <c:pt idx="3">
                  <c:v>4057576</c:v>
                </c:pt>
                <c:pt idx="4">
                  <c:v>5119569</c:v>
                </c:pt>
                <c:pt idx="5">
                  <c:v>6179091</c:v>
                </c:pt>
                <c:pt idx="6">
                  <c:v>7318811</c:v>
                </c:pt>
                <c:pt idx="7">
                  <c:v>8374590</c:v>
                </c:pt>
                <c:pt idx="8">
                  <c:v>9230557</c:v>
                </c:pt>
                <c:pt idx="9">
                  <c:v>10231341</c:v>
                </c:pt>
                <c:pt idx="10">
                  <c:v>11217274</c:v>
                </c:pt>
                <c:pt idx="11">
                  <c:v>12681685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2-4B1F-B8D5-212194D24CAD}"/>
            </c:ext>
          </c:extLst>
        </c:ser>
        <c:ser>
          <c:idx val="2"/>
          <c:order val="2"/>
          <c:tx>
            <c:strRef>
              <c:f>'PC-sales-countries-Cumul-World'!$B$112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'PC-sales-countries-Cumul-World'!$C$112:$N$112</c:f>
              <c:numCache>
                <c:formatCode>_-* #,##0\ _F_-;\-* #,##0\ _F_-;_-* "-"??\ _F_-;_-@_-</c:formatCode>
                <c:ptCount val="12"/>
                <c:pt idx="0">
                  <c:v>897826</c:v>
                </c:pt>
                <c:pt idx="1">
                  <c:v>1958896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2-4B1F-B8D5-212194D24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45312"/>
        <c:axId val="224047104"/>
      </c:lineChart>
      <c:catAx>
        <c:axId val="2240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047104"/>
        <c:crosses val="autoZero"/>
        <c:auto val="1"/>
        <c:lblAlgn val="ctr"/>
        <c:lblOffset val="100"/>
        <c:noMultiLvlLbl val="0"/>
      </c:catAx>
      <c:valAx>
        <c:axId val="22404710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0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112036786958359"/>
          <c:w val="0.12639971522629243"/>
          <c:h val="0.1924392827185931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'PC-sales-countries-Cumul-World'!$B$32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'PC-sales-countries-Cumul-World'!$C$32:$N$32</c:f>
              <c:numCache>
                <c:formatCode>_-* #,##0\ _F_-;\-* #,##0\ _F_-;_-* "-"??\ _F_-;_-@_-</c:formatCode>
                <c:ptCount val="12"/>
                <c:pt idx="0">
                  <c:v>2186344</c:v>
                </c:pt>
                <c:pt idx="1">
                  <c:v>3673786</c:v>
                </c:pt>
                <c:pt idx="2">
                  <c:v>5538146</c:v>
                </c:pt>
                <c:pt idx="3">
                  <c:v>6503266</c:v>
                </c:pt>
                <c:pt idx="4">
                  <c:v>8126145</c:v>
                </c:pt>
                <c:pt idx="5">
                  <c:v>10347749</c:v>
                </c:pt>
                <c:pt idx="6">
                  <c:v>12522074</c:v>
                </c:pt>
                <c:pt idx="7">
                  <c:v>14647334</c:v>
                </c:pt>
                <c:pt idx="8">
                  <c:v>16979103</c:v>
                </c:pt>
                <c:pt idx="9">
                  <c:v>19210300</c:v>
                </c:pt>
                <c:pt idx="10">
                  <c:v>21285116</c:v>
                </c:pt>
                <c:pt idx="11">
                  <c:v>23563287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3-4B7A-A58D-63052D2D6780}"/>
            </c:ext>
          </c:extLst>
        </c:ser>
        <c:ser>
          <c:idx val="1"/>
          <c:order val="1"/>
          <c:tx>
            <c:strRef>
              <c:f>'PC-sales-countries-Cumul-World'!$B$33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'PC-sales-countries-Cumul-World'!$C$33:$N$33</c:f>
              <c:numCache>
                <c:formatCode>_-* #,##0\ _F_-;\-* #,##0\ _F_-;_-* "-"??\ _F_-;_-@_-</c:formatCode>
                <c:ptCount val="12"/>
                <c:pt idx="0">
                  <c:v>1468597</c:v>
                </c:pt>
                <c:pt idx="1">
                  <c:v>3121261</c:v>
                </c:pt>
                <c:pt idx="2">
                  <c:v>5138203</c:v>
                </c:pt>
                <c:pt idx="3">
                  <c:v>6949282</c:v>
                </c:pt>
                <c:pt idx="4">
                  <c:v>9000405</c:v>
                </c:pt>
                <c:pt idx="5">
                  <c:v>11268226</c:v>
                </c:pt>
                <c:pt idx="6">
                  <c:v>13368076</c:v>
                </c:pt>
                <c:pt idx="7">
                  <c:v>15640859</c:v>
                </c:pt>
                <c:pt idx="8">
                  <c:v>18128133</c:v>
                </c:pt>
                <c:pt idx="9">
                  <c:v>20616006</c:v>
                </c:pt>
                <c:pt idx="10">
                  <c:v>23220376</c:v>
                </c:pt>
                <c:pt idx="11">
                  <c:v>26062824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E-4742-848E-9CE75B9423F9}"/>
            </c:ext>
          </c:extLst>
        </c:ser>
        <c:ser>
          <c:idx val="2"/>
          <c:order val="2"/>
          <c:tx>
            <c:strRef>
              <c:f>'PC-sales-countries-Cumul-World'!$B$34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'PC-sales-countries-Cumul-World'!$C$7:$N$7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'PC-sales-countries-Cumul-World'!$C$34:$N$34</c:f>
              <c:numCache>
                <c:formatCode>_-* #,##0\ _F_-;\-* #,##0\ _F_-;_-* "-"??\ _F_-;_-@_-</c:formatCode>
                <c:ptCount val="12"/>
                <c:pt idx="0">
                  <c:v>2115435</c:v>
                </c:pt>
                <c:pt idx="1">
                  <c:v>3448250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E-4742-848E-9CE75B94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86976"/>
        <c:axId val="224288768"/>
      </c:lineChart>
      <c:catAx>
        <c:axId val="2242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288768"/>
        <c:crosses val="autoZero"/>
        <c:auto val="1"/>
        <c:lblAlgn val="ctr"/>
        <c:lblOffset val="100"/>
        <c:noMultiLvlLbl val="0"/>
      </c:catAx>
      <c:valAx>
        <c:axId val="22428876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28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13375472148321"/>
          <c:y val="0.38034002381002113"/>
          <c:w val="0.1268329746840140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'PC-sales-countries-Cumul-World'!$B$115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'PC-sales-countries-Cumul-World'!$C$114:$N$114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'PC-sales-countries-Cumul-World'!$C$115:$N$115</c:f>
              <c:numCache>
                <c:formatCode>_-* #,##0\ _F_-;\-* #,##0\ _F_-;_-* "-"??\ _F_-;_-@_-</c:formatCode>
                <c:ptCount val="12"/>
                <c:pt idx="0">
                  <c:v>821652</c:v>
                </c:pt>
                <c:pt idx="1">
                  <c:v>1624828</c:v>
                </c:pt>
                <c:pt idx="2">
                  <c:v>2750365</c:v>
                </c:pt>
                <c:pt idx="3">
                  <c:v>3579342</c:v>
                </c:pt>
                <c:pt idx="4">
                  <c:v>4525208</c:v>
                </c:pt>
                <c:pt idx="5">
                  <c:v>5588499</c:v>
                </c:pt>
                <c:pt idx="6">
                  <c:v>6461572</c:v>
                </c:pt>
                <c:pt idx="7">
                  <c:v>7209866</c:v>
                </c:pt>
                <c:pt idx="8">
                  <c:v>8258465</c:v>
                </c:pt>
                <c:pt idx="9">
                  <c:v>9168463</c:v>
                </c:pt>
                <c:pt idx="10">
                  <c:v>11797314</c:v>
                </c:pt>
                <c:pt idx="11">
                  <c:v>11273153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6-474F-9FCA-D570A50CF9D2}"/>
            </c:ext>
          </c:extLst>
        </c:ser>
        <c:ser>
          <c:idx val="1"/>
          <c:order val="1"/>
          <c:tx>
            <c:strRef>
              <c:f>'PC-sales-countries-Cumul-World'!$B$116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'PC-sales-countries-Cumul-World'!$C$114:$N$114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'PC-sales-countries-Cumul-World'!$C$116:$N$116</c:f>
              <c:numCache>
                <c:formatCode>_-* #,##0\ _F_-;\-* #,##0\ _F_-;_-* "-"??\ _F_-;_-@_-</c:formatCode>
                <c:ptCount val="12"/>
                <c:pt idx="0">
                  <c:v>910144</c:v>
                </c:pt>
                <c:pt idx="1">
                  <c:v>1812384</c:v>
                </c:pt>
                <c:pt idx="2">
                  <c:v>3232365</c:v>
                </c:pt>
                <c:pt idx="3">
                  <c:v>4195201</c:v>
                </c:pt>
                <c:pt idx="4">
                  <c:v>5313132</c:v>
                </c:pt>
                <c:pt idx="5">
                  <c:v>6578944</c:v>
                </c:pt>
                <c:pt idx="6">
                  <c:v>7596608</c:v>
                </c:pt>
                <c:pt idx="7">
                  <c:v>8501884</c:v>
                </c:pt>
                <c:pt idx="8">
                  <c:v>9684894</c:v>
                </c:pt>
                <c:pt idx="9">
                  <c:v>10723195</c:v>
                </c:pt>
                <c:pt idx="10">
                  <c:v>11797314</c:v>
                </c:pt>
                <c:pt idx="11">
                  <c:v>12846294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C-4591-9F76-EAC9EFC79CAA}"/>
            </c:ext>
          </c:extLst>
        </c:ser>
        <c:ser>
          <c:idx val="2"/>
          <c:order val="2"/>
          <c:tx>
            <c:strRef>
              <c:f>'PC-sales-countries-Cumul-World'!$B$117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'PC-sales-countries-Cumul-World'!$C$114:$N$114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'PC-sales-countries-Cumul-World'!$C$117:$N$117</c:f>
              <c:numCache>
                <c:formatCode>_-* #,##0\ _F_-;\-* #,##0\ _F_-;_-* "-"??\ _F_-;_-@_-</c:formatCode>
                <c:ptCount val="12"/>
                <c:pt idx="0">
                  <c:v>1017149</c:v>
                </c:pt>
                <c:pt idx="1">
                  <c:v>2012031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C-4591-9F76-EAC9EFC7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85280"/>
        <c:axId val="224993280"/>
      </c:lineChart>
      <c:catAx>
        <c:axId val="2243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993280"/>
        <c:crosses val="autoZero"/>
        <c:auto val="1"/>
        <c:lblAlgn val="ctr"/>
        <c:lblOffset val="100"/>
        <c:noMultiLvlLbl val="0"/>
      </c:catAx>
      <c:valAx>
        <c:axId val="22499328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438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1379593175851"/>
          <c:y val="0.38065863503354502"/>
          <c:w val="0.1284226861859068"/>
          <c:h val="0.1904283064091166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'[1]LUV-sales-countries-Cumul-World'!$B$43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'[1]LUV-sales-countries-Cumul-World'!$C$43:$N$43</c:f>
              <c:numCache>
                <c:formatCode>General</c:formatCode>
                <c:ptCount val="12"/>
                <c:pt idx="0">
                  <c:v>136551</c:v>
                </c:pt>
                <c:pt idx="1">
                  <c:v>265415</c:v>
                </c:pt>
                <c:pt idx="2">
                  <c:v>483286</c:v>
                </c:pt>
                <c:pt idx="3">
                  <c:v>624666</c:v>
                </c:pt>
                <c:pt idx="4">
                  <c:v>785231</c:v>
                </c:pt>
                <c:pt idx="5">
                  <c:v>970609</c:v>
                </c:pt>
                <c:pt idx="6">
                  <c:v>1114796</c:v>
                </c:pt>
                <c:pt idx="7">
                  <c:v>1231690</c:v>
                </c:pt>
                <c:pt idx="8">
                  <c:v>1413240</c:v>
                </c:pt>
                <c:pt idx="9">
                  <c:v>1573485</c:v>
                </c:pt>
                <c:pt idx="10">
                  <c:v>1740495</c:v>
                </c:pt>
                <c:pt idx="11">
                  <c:v>1903559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2-42E8-AEC4-4BC740D604DB}"/>
            </c:ext>
          </c:extLst>
        </c:ser>
        <c:ser>
          <c:idx val="1"/>
          <c:order val="1"/>
          <c:tx>
            <c:strRef>
              <c:f>'[1]LUV-sales-countries-Cumul-World'!$B$44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'[1]LUV-sales-countries-Cumul-World'!$C$44:$N$44</c:f>
              <c:numCache>
                <c:formatCode>General</c:formatCode>
                <c:ptCount val="12"/>
                <c:pt idx="0">
                  <c:v>145480</c:v>
                </c:pt>
                <c:pt idx="1">
                  <c:v>281879</c:v>
                </c:pt>
                <c:pt idx="2">
                  <c:v>493951</c:v>
                </c:pt>
                <c:pt idx="3">
                  <c:v>648483</c:v>
                </c:pt>
                <c:pt idx="4">
                  <c:v>815762</c:v>
                </c:pt>
                <c:pt idx="5">
                  <c:v>1015406</c:v>
                </c:pt>
                <c:pt idx="6">
                  <c:v>1158895</c:v>
                </c:pt>
                <c:pt idx="7">
                  <c:v>1283188</c:v>
                </c:pt>
                <c:pt idx="8">
                  <c:v>1453354</c:v>
                </c:pt>
                <c:pt idx="9">
                  <c:v>1623821</c:v>
                </c:pt>
                <c:pt idx="10">
                  <c:v>1793752</c:v>
                </c:pt>
                <c:pt idx="11">
                  <c:v>1951091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2-42E8-AEC4-4BC740D604DB}"/>
            </c:ext>
          </c:extLst>
        </c:ser>
        <c:ser>
          <c:idx val="2"/>
          <c:order val="2"/>
          <c:tx>
            <c:strRef>
              <c:f>'[1]LUV-sales-countries-Cumul-World'!$B$45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'[1]LUV-sales-countries-Cumul-World'!$C$45:$N$45</c:f>
              <c:numCache>
                <c:formatCode>General</c:formatCode>
                <c:ptCount val="12"/>
                <c:pt idx="0">
                  <c:v>153090</c:v>
                </c:pt>
                <c:pt idx="1">
                  <c:v>294641</c:v>
                </c:pt>
                <c:pt idx="2">
                  <c:v>509641</c:v>
                </c:pt>
                <c:pt idx="3">
                  <c:v>684269</c:v>
                </c:pt>
                <c:pt idx="4">
                  <c:v>854269</c:v>
                </c:pt>
                <c:pt idx="5">
                  <c:v>1052005</c:v>
                </c:pt>
                <c:pt idx="6">
                  <c:v>1197005</c:v>
                </c:pt>
                <c:pt idx="7">
                  <c:v>1321005</c:v>
                </c:pt>
                <c:pt idx="8">
                  <c:v>1521480</c:v>
                </c:pt>
                <c:pt idx="9">
                  <c:v>1681875</c:v>
                </c:pt>
                <c:pt idx="10">
                  <c:v>1839198</c:v>
                </c:pt>
                <c:pt idx="11">
                  <c:v>2011325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2-42E8-AEC4-4BC740D6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03680"/>
        <c:axId val="226105216"/>
      </c:lineChart>
      <c:catAx>
        <c:axId val="2261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105216"/>
        <c:crosses val="autoZero"/>
        <c:auto val="1"/>
        <c:lblAlgn val="ctr"/>
        <c:lblOffset val="100"/>
        <c:noMultiLvlLbl val="0"/>
      </c:catAx>
      <c:valAx>
        <c:axId val="22610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103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'[1]LUV-sales-countries-Cumul-World'!$C$19:$N$19</c:f>
              <c:numCache>
                <c:formatCode>General</c:formatCode>
                <c:ptCount val="12"/>
                <c:pt idx="0">
                  <c:v>301313</c:v>
                </c:pt>
                <c:pt idx="1">
                  <c:v>607813</c:v>
                </c:pt>
                <c:pt idx="2">
                  <c:v>1054413</c:v>
                </c:pt>
                <c:pt idx="3">
                  <c:v>1416155</c:v>
                </c:pt>
                <c:pt idx="4">
                  <c:v>1760880</c:v>
                </c:pt>
                <c:pt idx="5">
                  <c:v>2100950</c:v>
                </c:pt>
                <c:pt idx="6">
                  <c:v>2393762</c:v>
                </c:pt>
                <c:pt idx="7">
                  <c:v>2704577</c:v>
                </c:pt>
                <c:pt idx="8">
                  <c:v>3071139</c:v>
                </c:pt>
                <c:pt idx="9">
                  <c:v>3422208</c:v>
                </c:pt>
                <c:pt idx="10">
                  <c:v>3790345</c:v>
                </c:pt>
                <c:pt idx="11">
                  <c:v>4160583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D-4986-BED3-DFFA15C79997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'[1]LUV-sales-countries-Cumul-World'!$C$20:$N$20</c:f>
              <c:numCache>
                <c:formatCode>General</c:formatCode>
                <c:ptCount val="12"/>
                <c:pt idx="0">
                  <c:v>353100</c:v>
                </c:pt>
                <c:pt idx="1">
                  <c:v>595145</c:v>
                </c:pt>
                <c:pt idx="2">
                  <c:v>1082834</c:v>
                </c:pt>
                <c:pt idx="3">
                  <c:v>1487017</c:v>
                </c:pt>
                <c:pt idx="4">
                  <c:v>1885309</c:v>
                </c:pt>
                <c:pt idx="5">
                  <c:v>2284797</c:v>
                </c:pt>
                <c:pt idx="6">
                  <c:v>2584368</c:v>
                </c:pt>
                <c:pt idx="7">
                  <c:v>2897856</c:v>
                </c:pt>
                <c:pt idx="8">
                  <c:v>3231440</c:v>
                </c:pt>
                <c:pt idx="9">
                  <c:v>3564727</c:v>
                </c:pt>
                <c:pt idx="10">
                  <c:v>3939061</c:v>
                </c:pt>
                <c:pt idx="11">
                  <c:v>4370800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D-4986-BED3-DFFA15C79997}"/>
            </c:ext>
          </c:extLst>
        </c:ser>
        <c:ser>
          <c:idx val="2"/>
          <c:order val="2"/>
          <c:tx>
            <c:strRef>
              <c:f>'[1]LUV-sales-countries-Cumul-World'!$B$9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'[1]LUV-sales-countries-Cumul-World'!$C$21:$N$21</c:f>
              <c:numCache>
                <c:formatCode>General</c:formatCode>
                <c:ptCount val="12"/>
                <c:pt idx="0">
                  <c:v>346189</c:v>
                </c:pt>
                <c:pt idx="1">
                  <c:v>608294</c:v>
                </c:pt>
                <c:pt idx="2">
                  <c:v>1108864</c:v>
                </c:pt>
                <c:pt idx="3">
                  <c:v>1514484</c:v>
                </c:pt>
                <c:pt idx="4">
                  <c:v>1865884</c:v>
                </c:pt>
                <c:pt idx="5">
                  <c:v>2194406</c:v>
                </c:pt>
                <c:pt idx="6">
                  <c:v>2474973</c:v>
                </c:pt>
                <c:pt idx="7">
                  <c:v>2779637</c:v>
                </c:pt>
                <c:pt idx="8">
                  <c:v>3119683</c:v>
                </c:pt>
                <c:pt idx="9">
                  <c:v>3476184</c:v>
                </c:pt>
                <c:pt idx="10">
                  <c:v>3876394</c:v>
                </c:pt>
                <c:pt idx="11">
                  <c:v>4324497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2D-4986-BED3-DFFA15C79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44640"/>
        <c:axId val="226146176"/>
      </c:lineChart>
      <c:catAx>
        <c:axId val="2261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146176"/>
        <c:crosses val="autoZero"/>
        <c:auto val="1"/>
        <c:lblAlgn val="ctr"/>
        <c:lblOffset val="100"/>
        <c:noMultiLvlLbl val="0"/>
      </c:catAx>
      <c:valAx>
        <c:axId val="226146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144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'[1]LUV-sales-countries-Cumul-World'!$C$25:$N$25</c:f>
              <c:numCache>
                <c:formatCode>General</c:formatCode>
                <c:ptCount val="12"/>
                <c:pt idx="0">
                  <c:v>61239</c:v>
                </c:pt>
                <c:pt idx="1">
                  <c:v>128178</c:v>
                </c:pt>
                <c:pt idx="2">
                  <c:v>215435</c:v>
                </c:pt>
                <c:pt idx="3">
                  <c:v>256925</c:v>
                </c:pt>
                <c:pt idx="4">
                  <c:v>310382</c:v>
                </c:pt>
                <c:pt idx="5">
                  <c:v>367272</c:v>
                </c:pt>
                <c:pt idx="6">
                  <c:v>426272</c:v>
                </c:pt>
                <c:pt idx="7">
                  <c:v>491582</c:v>
                </c:pt>
                <c:pt idx="8">
                  <c:v>568777</c:v>
                </c:pt>
                <c:pt idx="9">
                  <c:v>638570</c:v>
                </c:pt>
                <c:pt idx="10">
                  <c:v>707416</c:v>
                </c:pt>
                <c:pt idx="11">
                  <c:v>789778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5-41C5-8581-FEBAD0A43944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'[1]LUV-sales-countries-Cumul-World'!$C$26:$N$26</c:f>
              <c:numCache>
                <c:formatCode>General</c:formatCode>
                <c:ptCount val="12"/>
                <c:pt idx="0">
                  <c:v>85660</c:v>
                </c:pt>
                <c:pt idx="1">
                  <c:v>173437</c:v>
                </c:pt>
                <c:pt idx="2">
                  <c:v>282118</c:v>
                </c:pt>
                <c:pt idx="3">
                  <c:v>355111</c:v>
                </c:pt>
                <c:pt idx="4">
                  <c:v>431589</c:v>
                </c:pt>
                <c:pt idx="5">
                  <c:v>512213</c:v>
                </c:pt>
                <c:pt idx="6">
                  <c:v>588710</c:v>
                </c:pt>
                <c:pt idx="7">
                  <c:v>673378</c:v>
                </c:pt>
                <c:pt idx="8">
                  <c:v>769245</c:v>
                </c:pt>
                <c:pt idx="9">
                  <c:v>856392</c:v>
                </c:pt>
                <c:pt idx="10">
                  <c:v>929204</c:v>
                </c:pt>
                <c:pt idx="11">
                  <c:v>1005188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5-41C5-8581-FEBAD0A43944}"/>
            </c:ext>
          </c:extLst>
        </c:ser>
        <c:ser>
          <c:idx val="2"/>
          <c:order val="2"/>
          <c:tx>
            <c:strRef>
              <c:f>'[1]LUV-sales-countries-Cumul-World'!$C$9:$D$9</c:f>
              <c:strCache>
                <c:ptCount val="1"/>
                <c:pt idx="0">
                  <c:v>13048 21921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'[1]LUV-sales-countries-Cumul-World'!$C$27:$N$27</c:f>
              <c:numCache>
                <c:formatCode>General</c:formatCode>
                <c:ptCount val="12"/>
                <c:pt idx="0">
                  <c:v>87591</c:v>
                </c:pt>
                <c:pt idx="1">
                  <c:v>175027</c:v>
                </c:pt>
                <c:pt idx="2">
                  <c:v>284057</c:v>
                </c:pt>
                <c:pt idx="3">
                  <c:v>352737</c:v>
                </c:pt>
                <c:pt idx="4">
                  <c:v>421584</c:v>
                </c:pt>
                <c:pt idx="5">
                  <c:v>492355</c:v>
                </c:pt>
                <c:pt idx="6">
                  <c:v>549221</c:v>
                </c:pt>
                <c:pt idx="7">
                  <c:v>601118</c:v>
                </c:pt>
                <c:pt idx="8">
                  <c:v>659537</c:v>
                </c:pt>
                <c:pt idx="9">
                  <c:v>726310</c:v>
                </c:pt>
                <c:pt idx="10">
                  <c:v>788217</c:v>
                </c:pt>
                <c:pt idx="11">
                  <c:v>854839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25-41C5-8581-FEBAD0A43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59040"/>
        <c:axId val="226760576"/>
      </c:lineChart>
      <c:catAx>
        <c:axId val="226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760576"/>
        <c:crosses val="autoZero"/>
        <c:auto val="1"/>
        <c:lblAlgn val="ctr"/>
        <c:lblOffset val="100"/>
        <c:noMultiLvlLbl val="0"/>
      </c:catAx>
      <c:valAx>
        <c:axId val="22676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759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'[1]LUV-sales-countries-Cumul-World'!$C$34:$N$34</c:f>
              <c:numCache>
                <c:formatCode>General</c:formatCode>
                <c:ptCount val="12"/>
                <c:pt idx="0">
                  <c:v>41560</c:v>
                </c:pt>
                <c:pt idx="1">
                  <c:v>80484</c:v>
                </c:pt>
                <c:pt idx="2">
                  <c:v>128100</c:v>
                </c:pt>
                <c:pt idx="3">
                  <c:v>169799</c:v>
                </c:pt>
                <c:pt idx="4">
                  <c:v>214563</c:v>
                </c:pt>
                <c:pt idx="5">
                  <c:v>258649</c:v>
                </c:pt>
                <c:pt idx="6">
                  <c:v>301793</c:v>
                </c:pt>
                <c:pt idx="7">
                  <c:v>347267</c:v>
                </c:pt>
                <c:pt idx="8">
                  <c:v>390422</c:v>
                </c:pt>
                <c:pt idx="9">
                  <c:v>437164</c:v>
                </c:pt>
                <c:pt idx="10">
                  <c:v>486930</c:v>
                </c:pt>
                <c:pt idx="11">
                  <c:v>546236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B-402E-B662-AB8206349323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'[1]LUV-sales-countries-Cumul-World'!$C$35:$N$35</c:f>
              <c:numCache>
                <c:formatCode>General</c:formatCode>
                <c:ptCount val="12"/>
                <c:pt idx="0">
                  <c:v>41953</c:v>
                </c:pt>
                <c:pt idx="1">
                  <c:v>82365</c:v>
                </c:pt>
                <c:pt idx="2">
                  <c:v>126156</c:v>
                </c:pt>
                <c:pt idx="3">
                  <c:v>166628</c:v>
                </c:pt>
                <c:pt idx="4">
                  <c:v>211498</c:v>
                </c:pt>
                <c:pt idx="5">
                  <c:v>257792</c:v>
                </c:pt>
                <c:pt idx="6">
                  <c:v>299591</c:v>
                </c:pt>
                <c:pt idx="7">
                  <c:v>343006</c:v>
                </c:pt>
                <c:pt idx="8">
                  <c:v>386753</c:v>
                </c:pt>
                <c:pt idx="9">
                  <c:v>433651</c:v>
                </c:pt>
                <c:pt idx="10">
                  <c:v>485900</c:v>
                </c:pt>
                <c:pt idx="11">
                  <c:v>541368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B-402E-B662-AB8206349323}"/>
            </c:ext>
          </c:extLst>
        </c:ser>
        <c:ser>
          <c:idx val="2"/>
          <c:order val="2"/>
          <c:tx>
            <c:strRef>
              <c:f>'[1]LUV-sales-countries-Cumul-World'!$B$9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'[1]LUV-sales-countries-Cumul-World'!$C$36:$N$36</c:f>
              <c:numCache>
                <c:formatCode>General</c:formatCode>
                <c:ptCount val="12"/>
                <c:pt idx="0">
                  <c:v>42958</c:v>
                </c:pt>
                <c:pt idx="1">
                  <c:v>85189</c:v>
                </c:pt>
                <c:pt idx="2">
                  <c:v>134631</c:v>
                </c:pt>
                <c:pt idx="3">
                  <c:v>176349</c:v>
                </c:pt>
                <c:pt idx="4">
                  <c:v>218906</c:v>
                </c:pt>
                <c:pt idx="5">
                  <c:v>261392</c:v>
                </c:pt>
                <c:pt idx="6">
                  <c:v>304422</c:v>
                </c:pt>
                <c:pt idx="7">
                  <c:v>349014</c:v>
                </c:pt>
                <c:pt idx="8">
                  <c:v>391721</c:v>
                </c:pt>
                <c:pt idx="9">
                  <c:v>436277</c:v>
                </c:pt>
                <c:pt idx="10">
                  <c:v>490467</c:v>
                </c:pt>
                <c:pt idx="11">
                  <c:v>543133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B-402E-B662-AB8206349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87712"/>
        <c:axId val="226789248"/>
      </c:lineChart>
      <c:catAx>
        <c:axId val="2267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789248"/>
        <c:crosses val="autoZero"/>
        <c:auto val="1"/>
        <c:lblAlgn val="ctr"/>
        <c:lblOffset val="100"/>
        <c:noMultiLvlLbl val="0"/>
      </c:catAx>
      <c:valAx>
        <c:axId val="22678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787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'[1]LUV-sales-countries-Cumul-World'!$C$7:$N$7</c:f>
              <c:numCache>
                <c:formatCode>General</c:formatCode>
                <c:ptCount val="12"/>
                <c:pt idx="0">
                  <c:v>20983</c:v>
                </c:pt>
                <c:pt idx="1">
                  <c:v>33406</c:v>
                </c:pt>
                <c:pt idx="2">
                  <c:v>49969</c:v>
                </c:pt>
                <c:pt idx="3">
                  <c:v>64211</c:v>
                </c:pt>
                <c:pt idx="4">
                  <c:v>80860</c:v>
                </c:pt>
                <c:pt idx="5">
                  <c:v>98319</c:v>
                </c:pt>
                <c:pt idx="6">
                  <c:v>115756</c:v>
                </c:pt>
                <c:pt idx="7">
                  <c:v>134916</c:v>
                </c:pt>
                <c:pt idx="8">
                  <c:v>153618</c:v>
                </c:pt>
                <c:pt idx="9">
                  <c:v>170636</c:v>
                </c:pt>
                <c:pt idx="10">
                  <c:v>186881</c:v>
                </c:pt>
                <c:pt idx="11">
                  <c:v>197952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2-4A47-B9E5-DAE49D787B49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'[1]LUV-sales-countries-Cumul-World'!$C$8:$N$8</c:f>
              <c:numCache>
                <c:formatCode>General</c:formatCode>
                <c:ptCount val="12"/>
                <c:pt idx="0">
                  <c:v>25184</c:v>
                </c:pt>
                <c:pt idx="1">
                  <c:v>38601</c:v>
                </c:pt>
                <c:pt idx="2">
                  <c:v>54019</c:v>
                </c:pt>
                <c:pt idx="3">
                  <c:v>68786</c:v>
                </c:pt>
                <c:pt idx="4">
                  <c:v>85281</c:v>
                </c:pt>
                <c:pt idx="5">
                  <c:v>98066</c:v>
                </c:pt>
                <c:pt idx="6">
                  <c:v>112542</c:v>
                </c:pt>
                <c:pt idx="7">
                  <c:v>126131</c:v>
                </c:pt>
                <c:pt idx="8">
                  <c:v>136932</c:v>
                </c:pt>
                <c:pt idx="9">
                  <c:v>146837</c:v>
                </c:pt>
                <c:pt idx="10">
                  <c:v>155781</c:v>
                </c:pt>
                <c:pt idx="11">
                  <c:v>161952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2-4A47-B9E5-DAE49D787B49}"/>
            </c:ext>
          </c:extLst>
        </c:ser>
        <c:ser>
          <c:idx val="2"/>
          <c:order val="2"/>
          <c:tx>
            <c:strRef>
              <c:f>'[1]LUV-sales-countries-Cumul-World'!$B$9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'[1]LUV-sales-countries-Cumul-World'!$C$9:$N$9</c:f>
              <c:numCache>
                <c:formatCode>General</c:formatCode>
                <c:ptCount val="12"/>
                <c:pt idx="0">
                  <c:v>13048</c:v>
                </c:pt>
                <c:pt idx="1">
                  <c:v>21921</c:v>
                </c:pt>
                <c:pt idx="2">
                  <c:v>30239</c:v>
                </c:pt>
                <c:pt idx="3">
                  <c:v>39643</c:v>
                </c:pt>
                <c:pt idx="4">
                  <c:v>47519</c:v>
                </c:pt>
                <c:pt idx="5">
                  <c:v>55116</c:v>
                </c:pt>
                <c:pt idx="6">
                  <c:v>64740</c:v>
                </c:pt>
                <c:pt idx="7">
                  <c:v>77053</c:v>
                </c:pt>
                <c:pt idx="8">
                  <c:v>87664</c:v>
                </c:pt>
                <c:pt idx="9">
                  <c:v>96160</c:v>
                </c:pt>
                <c:pt idx="10">
                  <c:v>102918</c:v>
                </c:pt>
                <c:pt idx="11">
                  <c:v>107068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92-4A47-B9E5-DAE49D78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36864"/>
        <c:axId val="226838400"/>
      </c:lineChart>
      <c:catAx>
        <c:axId val="2268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838400"/>
        <c:crosses val="autoZero"/>
        <c:auto val="1"/>
        <c:lblAlgn val="ctr"/>
        <c:lblOffset val="100"/>
        <c:noMultiLvlLbl val="0"/>
      </c:catAx>
      <c:valAx>
        <c:axId val="22683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6836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'LUV-sales-countries-World-123'!$B$24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'LUV-sales-countries-World-123'!$C$24:$N$24</c:f>
              <c:numCache>
                <c:formatCode>_-* #,##0\ _F_-;\-* #,##0\ _F_-;_-* "-"??\ _F_-;_-@_-</c:formatCode>
                <c:ptCount val="12"/>
                <c:pt idx="0">
                  <c:v>120628</c:v>
                </c:pt>
                <c:pt idx="1">
                  <c:v>127230</c:v>
                </c:pt>
                <c:pt idx="2">
                  <c:v>168661</c:v>
                </c:pt>
                <c:pt idx="3">
                  <c:v>125892</c:v>
                </c:pt>
                <c:pt idx="4">
                  <c:v>135739</c:v>
                </c:pt>
                <c:pt idx="5">
                  <c:v>146669</c:v>
                </c:pt>
                <c:pt idx="6">
                  <c:v>119084</c:v>
                </c:pt>
                <c:pt idx="7">
                  <c:v>108221</c:v>
                </c:pt>
                <c:pt idx="8">
                  <c:v>145729</c:v>
                </c:pt>
                <c:pt idx="9">
                  <c:v>129390</c:v>
                </c:pt>
                <c:pt idx="10">
                  <c:v>140508</c:v>
                </c:pt>
                <c:pt idx="11">
                  <c:v>148955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7-4514-BAB0-0E4FD620A560}"/>
            </c:ext>
          </c:extLst>
        </c:ser>
        <c:ser>
          <c:idx val="1"/>
          <c:order val="1"/>
          <c:tx>
            <c:strRef>
              <c:f>'LUV-sales-countries-World-123'!$B$25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'LUV-sales-countries-World-123'!$C$25:$N$25</c:f>
              <c:numCache>
                <c:formatCode>_-* #,##0\ _F_-;\-* #,##0\ _F_-;_-* "-"??\ _F_-;_-@_-</c:formatCode>
                <c:ptCount val="12"/>
                <c:pt idx="0">
                  <c:v>152078</c:v>
                </c:pt>
                <c:pt idx="1">
                  <c:v>152078</c:v>
                </c:pt>
                <c:pt idx="2">
                  <c:v>152078</c:v>
                </c:pt>
                <c:pt idx="3">
                  <c:v>158263</c:v>
                </c:pt>
                <c:pt idx="4">
                  <c:v>158263</c:v>
                </c:pt>
                <c:pt idx="5">
                  <c:v>158263</c:v>
                </c:pt>
                <c:pt idx="6">
                  <c:v>150198</c:v>
                </c:pt>
                <c:pt idx="7">
                  <c:v>150198</c:v>
                </c:pt>
                <c:pt idx="8">
                  <c:v>150198</c:v>
                </c:pt>
                <c:pt idx="9">
                  <c:v>163620</c:v>
                </c:pt>
                <c:pt idx="10">
                  <c:v>163620</c:v>
                </c:pt>
                <c:pt idx="11">
                  <c:v>163620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2C-4ECD-9231-7167AEAA661F}"/>
            </c:ext>
          </c:extLst>
        </c:ser>
        <c:ser>
          <c:idx val="2"/>
          <c:order val="2"/>
          <c:tx>
            <c:strRef>
              <c:f>'LUV-sales-countries-World-123'!$B$26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'LUV-sales-countries-World-123'!$C$26:$N$26</c:f>
              <c:numCache>
                <c:formatCode>_-* #,##0\ _F_-;\-* #,##0\ _F_-;_-* "-"??\ _F_-;_-@_-</c:formatCode>
                <c:ptCount val="12"/>
                <c:pt idx="0">
                  <c:v>109918</c:v>
                </c:pt>
                <c:pt idx="1">
                  <c:v>115475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C-4ECD-9231-7167AEAA6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14400"/>
        <c:axId val="227415936"/>
      </c:lineChart>
      <c:catAx>
        <c:axId val="2274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415936"/>
        <c:crosses val="autoZero"/>
        <c:auto val="1"/>
        <c:lblAlgn val="ctr"/>
        <c:lblOffset val="100"/>
        <c:noMultiLvlLbl val="0"/>
      </c:catAx>
      <c:valAx>
        <c:axId val="22741593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41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48209937613218"/>
          <c:y val="0.39795769892158706"/>
          <c:w val="0.12725100547431173"/>
          <c:h val="0.1935892332969229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'LUV-sales-countries-World-123'!$B$42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'LUV-sales-countries-World-123'!$C$42:$N$42</c:f>
              <c:numCache>
                <c:formatCode>_-* #,##0\ _F_-;\-* #,##0\ _F_-;_-* "-"??\ _F_-;_-@_-</c:formatCode>
                <c:ptCount val="12"/>
                <c:pt idx="0">
                  <c:v>224125</c:v>
                </c:pt>
                <c:pt idx="1">
                  <c:v>260426</c:v>
                </c:pt>
                <c:pt idx="2">
                  <c:v>230834</c:v>
                </c:pt>
                <c:pt idx="3">
                  <c:v>242218</c:v>
                </c:pt>
                <c:pt idx="4">
                  <c:v>218332</c:v>
                </c:pt>
                <c:pt idx="5">
                  <c:v>231226</c:v>
                </c:pt>
                <c:pt idx="6">
                  <c:v>237678</c:v>
                </c:pt>
                <c:pt idx="7">
                  <c:v>215792</c:v>
                </c:pt>
                <c:pt idx="8">
                  <c:v>148410</c:v>
                </c:pt>
                <c:pt idx="9">
                  <c:v>232511</c:v>
                </c:pt>
                <c:pt idx="10">
                  <c:v>220215</c:v>
                </c:pt>
                <c:pt idx="11">
                  <c:v>271993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15-47BD-9981-798234109A06}"/>
            </c:ext>
          </c:extLst>
        </c:ser>
        <c:ser>
          <c:idx val="1"/>
          <c:order val="1"/>
          <c:tx>
            <c:strRef>
              <c:f>'LUV-sales-countries-World-123'!$B$43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'LUV-sales-countries-World-123'!$C$43:$N$43</c:f>
              <c:numCache>
                <c:formatCode>_-* #,##0\ _F_-;\-* #,##0\ _F_-;_-* "-"??\ _F_-;_-@_-</c:formatCode>
                <c:ptCount val="12"/>
                <c:pt idx="0">
                  <c:v>207987</c:v>
                </c:pt>
                <c:pt idx="1">
                  <c:v>212270</c:v>
                </c:pt>
                <c:pt idx="2">
                  <c:v>242376</c:v>
                </c:pt>
                <c:pt idx="3">
                  <c:v>249162</c:v>
                </c:pt>
                <c:pt idx="4">
                  <c:v>256470</c:v>
                </c:pt>
                <c:pt idx="5">
                  <c:v>266276</c:v>
                </c:pt>
                <c:pt idx="6">
                  <c:v>239724</c:v>
                </c:pt>
                <c:pt idx="7">
                  <c:v>244935</c:v>
                </c:pt>
                <c:pt idx="8">
                  <c:v>244881</c:v>
                </c:pt>
                <c:pt idx="9">
                  <c:v>210421</c:v>
                </c:pt>
                <c:pt idx="10">
                  <c:v>222851</c:v>
                </c:pt>
                <c:pt idx="11">
                  <c:v>258424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1-4C32-B6E2-8826A660E65E}"/>
            </c:ext>
          </c:extLst>
        </c:ser>
        <c:ser>
          <c:idx val="2"/>
          <c:order val="2"/>
          <c:tx>
            <c:strRef>
              <c:f>'LUV-sales-countries-World-123'!$B$44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'LUV-sales-countries-World-123'!$C$44:$N$44</c:f>
              <c:numCache>
                <c:formatCode>_-* #,##0\ _F_-;\-* #,##0\ _F_-;_-* "-"??\ _F_-;_-@_-</c:formatCode>
                <c:ptCount val="12"/>
                <c:pt idx="0">
                  <c:v>184861</c:v>
                </c:pt>
                <c:pt idx="1">
                  <c:v>198784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1-4C32-B6E2-8826A660E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63552"/>
        <c:axId val="227465088"/>
      </c:lineChart>
      <c:catAx>
        <c:axId val="2274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465088"/>
        <c:crosses val="autoZero"/>
        <c:auto val="1"/>
        <c:lblAlgn val="ctr"/>
        <c:lblOffset val="100"/>
        <c:noMultiLvlLbl val="0"/>
      </c:catAx>
      <c:valAx>
        <c:axId val="2274650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46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9046741502"/>
          <c:w val="0.12639971522629243"/>
          <c:h val="0.1937178545059233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'PC-sales-countries-World-123'!$B$43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'PC-sales-countries-World-123'!$C$43:$N$43</c:f>
              <c:numCache>
                <c:formatCode>_-* #,##0\ _F_-;\-* #,##0\ _F_-;_-* "-"??\ _F_-;_-@_-</c:formatCode>
                <c:ptCount val="12"/>
                <c:pt idx="0">
                  <c:v>184112</c:v>
                </c:pt>
                <c:pt idx="1">
                  <c:v>200512</c:v>
                </c:pt>
                <c:pt idx="2">
                  <c:v>241330</c:v>
                </c:pt>
                <c:pt idx="3">
                  <c:v>180264</c:v>
                </c:pt>
                <c:pt idx="4">
                  <c:v>207199</c:v>
                </c:pt>
                <c:pt idx="5">
                  <c:v>224558</c:v>
                </c:pt>
                <c:pt idx="6">
                  <c:v>205911</c:v>
                </c:pt>
                <c:pt idx="7">
                  <c:v>199183</c:v>
                </c:pt>
                <c:pt idx="8">
                  <c:v>224816</c:v>
                </c:pt>
                <c:pt idx="9">
                  <c:v>208642</c:v>
                </c:pt>
                <c:pt idx="10">
                  <c:v>260512</c:v>
                </c:pt>
                <c:pt idx="11">
                  <c:v>314318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F-497D-B47D-CDD907B4B9C8}"/>
            </c:ext>
          </c:extLst>
        </c:ser>
        <c:ser>
          <c:idx val="1"/>
          <c:order val="1"/>
          <c:tx>
            <c:strRef>
              <c:f>'PC-sales-countries-World-123'!$B$44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'PC-sales-countries-World-123'!$C$44:$N$44</c:f>
              <c:numCache>
                <c:formatCode>_-* #,##0\ _F_-;\-* #,##0\ _F_-;_-* "-"??\ _F_-;_-@_-</c:formatCode>
                <c:ptCount val="12"/>
                <c:pt idx="0">
                  <c:v>179247</c:v>
                </c:pt>
                <c:pt idx="1">
                  <c:v>206210</c:v>
                </c:pt>
                <c:pt idx="2">
                  <c:v>281361</c:v>
                </c:pt>
                <c:pt idx="3">
                  <c:v>202947</c:v>
                </c:pt>
                <c:pt idx="4">
                  <c:v>246966</c:v>
                </c:pt>
                <c:pt idx="5">
                  <c:v>280139</c:v>
                </c:pt>
                <c:pt idx="6">
                  <c:v>243277</c:v>
                </c:pt>
                <c:pt idx="7">
                  <c:v>273417</c:v>
                </c:pt>
                <c:pt idx="8">
                  <c:v>224502</c:v>
                </c:pt>
                <c:pt idx="9">
                  <c:v>218959</c:v>
                </c:pt>
                <c:pt idx="10">
                  <c:v>245701</c:v>
                </c:pt>
                <c:pt idx="11">
                  <c:v>241883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C-445E-9A5B-9A5B38FB59BA}"/>
            </c:ext>
          </c:extLst>
        </c:ser>
        <c:ser>
          <c:idx val="2"/>
          <c:order val="2"/>
          <c:tx>
            <c:strRef>
              <c:f>'PC-sales-countries-World-123'!$B$45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'PC-sales-countries-World-123'!$C$45:$N$45</c:f>
              <c:numCache>
                <c:formatCode>_-* #,##0\ _F_-;\-* #,##0\ _F_-;_-* "-"??\ _F_-;_-@_-</c:formatCode>
                <c:ptCount val="12"/>
                <c:pt idx="0">
                  <c:v>213553</c:v>
                </c:pt>
                <c:pt idx="1">
                  <c:v>217388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C-445E-9A5B-9A5B38FB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9552"/>
        <c:axId val="60441344"/>
      </c:lineChart>
      <c:catAx>
        <c:axId val="604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41344"/>
        <c:crosses val="autoZero"/>
        <c:auto val="1"/>
        <c:lblAlgn val="ctr"/>
        <c:lblOffset val="100"/>
        <c:noMultiLvlLbl val="0"/>
      </c:catAx>
      <c:valAx>
        <c:axId val="6044134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3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46604817962111"/>
          <c:y val="0.38034009046741502"/>
          <c:w val="0.12195567697966563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'LUV-sales-countries-World-123'!$B$21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'LUV-sales-countries-World-123'!$C$21:$N$21</c:f>
              <c:numCache>
                <c:formatCode>_-* #,##0\ _F_-;\-* #,##0\ _F_-;_-* "-"??\ _F_-;_-@_-</c:formatCode>
                <c:ptCount val="12"/>
                <c:pt idx="0">
                  <c:v>344240</c:v>
                </c:pt>
                <c:pt idx="1">
                  <c:v>249857</c:v>
                </c:pt>
                <c:pt idx="2">
                  <c:v>369552</c:v>
                </c:pt>
                <c:pt idx="3">
                  <c:v>215783</c:v>
                </c:pt>
                <c:pt idx="4">
                  <c:v>239096</c:v>
                </c:pt>
                <c:pt idx="5">
                  <c:v>280689</c:v>
                </c:pt>
                <c:pt idx="6">
                  <c:v>245733</c:v>
                </c:pt>
                <c:pt idx="7">
                  <c:v>258094</c:v>
                </c:pt>
                <c:pt idx="8">
                  <c:v>278556</c:v>
                </c:pt>
                <c:pt idx="9">
                  <c:v>273486</c:v>
                </c:pt>
                <c:pt idx="10">
                  <c:v>252905</c:v>
                </c:pt>
                <c:pt idx="11">
                  <c:v>292467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A-4420-AF50-40FF891D0113}"/>
            </c:ext>
          </c:extLst>
        </c:ser>
        <c:ser>
          <c:idx val="1"/>
          <c:order val="1"/>
          <c:tx>
            <c:strRef>
              <c:f>'LUV-sales-countries-World-123'!$B$22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'LUV-sales-countries-World-123'!$C$22:$N$22</c:f>
              <c:numCache>
                <c:formatCode>_-* #,##0\ _F_-;\-* #,##0\ _F_-;_-* "-"??\ _F_-;_-@_-</c:formatCode>
                <c:ptCount val="12"/>
                <c:pt idx="0">
                  <c:v>180369</c:v>
                </c:pt>
                <c:pt idx="1">
                  <c:v>323509</c:v>
                </c:pt>
                <c:pt idx="2">
                  <c:v>434088</c:v>
                </c:pt>
                <c:pt idx="3">
                  <c:v>347625</c:v>
                </c:pt>
                <c:pt idx="4">
                  <c:v>330491</c:v>
                </c:pt>
                <c:pt idx="5">
                  <c:v>354505</c:v>
                </c:pt>
                <c:pt idx="6">
                  <c:v>287083</c:v>
                </c:pt>
                <c:pt idx="7">
                  <c:v>309618</c:v>
                </c:pt>
                <c:pt idx="8">
                  <c:v>371140</c:v>
                </c:pt>
                <c:pt idx="9">
                  <c:v>364517</c:v>
                </c:pt>
                <c:pt idx="10">
                  <c:v>365752</c:v>
                </c:pt>
                <c:pt idx="11">
                  <c:v>362177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1-48AB-B9B7-D8954E1C9666}"/>
            </c:ext>
          </c:extLst>
        </c:ser>
        <c:ser>
          <c:idx val="2"/>
          <c:order val="2"/>
          <c:tx>
            <c:strRef>
              <c:f>'LUV-sales-countries-World-123'!$B$23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'LUV-sales-countries-World-123'!$C$23:$N$23</c:f>
              <c:numCache>
                <c:formatCode>_-* #,##0\ _F_-;\-* #,##0\ _F_-;_-* "-"??\ _F_-;_-@_-</c:formatCode>
                <c:ptCount val="12"/>
                <c:pt idx="0">
                  <c:v>174754</c:v>
                </c:pt>
                <c:pt idx="1">
                  <c:v>145347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1-48AB-B9B7-D8954E1C9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87840"/>
        <c:axId val="227989376"/>
      </c:lineChart>
      <c:catAx>
        <c:axId val="22798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989376"/>
        <c:crosses val="autoZero"/>
        <c:auto val="1"/>
        <c:lblAlgn val="ctr"/>
        <c:lblOffset val="100"/>
        <c:noMultiLvlLbl val="0"/>
      </c:catAx>
      <c:valAx>
        <c:axId val="22798937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98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034009046741502"/>
          <c:w val="0.121311475409836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'LUV-sales-countries-World-123'!$B$30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'LUV-sales-countries-World-123'!$C$30:$N$30</c:f>
              <c:numCache>
                <c:formatCode>_-* #,##0\ _F_-;\-* #,##0\ _F_-;_-* "-"??\ _F_-;_-@_-</c:formatCode>
                <c:ptCount val="12"/>
                <c:pt idx="0">
                  <c:v>57254</c:v>
                </c:pt>
                <c:pt idx="1">
                  <c:v>64820</c:v>
                </c:pt>
                <c:pt idx="2">
                  <c:v>86469</c:v>
                </c:pt>
                <c:pt idx="3">
                  <c:v>55328</c:v>
                </c:pt>
                <c:pt idx="4">
                  <c:v>49577</c:v>
                </c:pt>
                <c:pt idx="5">
                  <c:v>59819</c:v>
                </c:pt>
                <c:pt idx="6">
                  <c:v>61190</c:v>
                </c:pt>
                <c:pt idx="7">
                  <c:v>55899</c:v>
                </c:pt>
                <c:pt idx="8">
                  <c:v>70262</c:v>
                </c:pt>
                <c:pt idx="9">
                  <c:v>63350</c:v>
                </c:pt>
                <c:pt idx="10">
                  <c:v>69020</c:v>
                </c:pt>
                <c:pt idx="11">
                  <c:v>60035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B-4360-A5F4-90D73663CBF5}"/>
            </c:ext>
          </c:extLst>
        </c:ser>
        <c:ser>
          <c:idx val="1"/>
          <c:order val="1"/>
          <c:tx>
            <c:strRef>
              <c:f>'LUV-sales-countries-World-123'!$B$31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'LUV-sales-countries-World-123'!$C$31:$N$31</c:f>
              <c:numCache>
                <c:formatCode>_-* #,##0\ _F_-;\-* #,##0\ _F_-;_-* "-"??\ _F_-;_-@_-</c:formatCode>
                <c:ptCount val="12"/>
                <c:pt idx="0">
                  <c:v>62468</c:v>
                </c:pt>
                <c:pt idx="1">
                  <c:v>70445</c:v>
                </c:pt>
                <c:pt idx="2">
                  <c:v>94551</c:v>
                </c:pt>
                <c:pt idx="3">
                  <c:v>60067</c:v>
                </c:pt>
                <c:pt idx="4">
                  <c:v>54688</c:v>
                </c:pt>
                <c:pt idx="5">
                  <c:v>60686</c:v>
                </c:pt>
                <c:pt idx="6">
                  <c:v>58056</c:v>
                </c:pt>
                <c:pt idx="7">
                  <c:v>59805</c:v>
                </c:pt>
                <c:pt idx="8">
                  <c:v>74094</c:v>
                </c:pt>
                <c:pt idx="9">
                  <c:v>63187</c:v>
                </c:pt>
                <c:pt idx="10">
                  <c:v>67044</c:v>
                </c:pt>
                <c:pt idx="11">
                  <c:v>61268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3-4764-8B25-290B073C9697}"/>
            </c:ext>
          </c:extLst>
        </c:ser>
        <c:ser>
          <c:idx val="2"/>
          <c:order val="2"/>
          <c:tx>
            <c:strRef>
              <c:f>'LUV-sales-countries-World-123'!$B$32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'LUV-sales-countries-World-123'!$C$32:$N$32</c:f>
              <c:numCache>
                <c:formatCode>_-* #,##0\ _F_-;\-* #,##0\ _F_-;_-* "-"??\ _F_-;_-@_-</c:formatCode>
                <c:ptCount val="12"/>
                <c:pt idx="0">
                  <c:v>49124</c:v>
                </c:pt>
                <c:pt idx="1">
                  <c:v>45822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3-4764-8B25-290B073C9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20608"/>
        <c:axId val="228022144"/>
      </c:lineChart>
      <c:catAx>
        <c:axId val="22802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022144"/>
        <c:crosses val="autoZero"/>
        <c:auto val="1"/>
        <c:lblAlgn val="ctr"/>
        <c:lblOffset val="100"/>
        <c:noMultiLvlLbl val="0"/>
      </c:catAx>
      <c:valAx>
        <c:axId val="22802214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02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324916282017"/>
          <c:y val="0.38236539876959824"/>
          <c:w val="0.1275373516299417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'LUV-sales-countries-World-123'!$B$33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'LUV-sales-countries-World-123'!$C$33:$N$33</c:f>
              <c:numCache>
                <c:formatCode>_-* #,##0\ _F_-;\-* #,##0\ _F_-;_-* "-"??\ _F_-;_-@_-</c:formatCode>
                <c:ptCount val="12"/>
                <c:pt idx="0">
                  <c:v>18754</c:v>
                </c:pt>
                <c:pt idx="1">
                  <c:v>21882</c:v>
                </c:pt>
                <c:pt idx="2">
                  <c:v>17498</c:v>
                </c:pt>
                <c:pt idx="3">
                  <c:v>22269</c:v>
                </c:pt>
                <c:pt idx="4">
                  <c:v>22727</c:v>
                </c:pt>
                <c:pt idx="5">
                  <c:v>20171</c:v>
                </c:pt>
                <c:pt idx="6">
                  <c:v>24485</c:v>
                </c:pt>
                <c:pt idx="7">
                  <c:v>21676</c:v>
                </c:pt>
                <c:pt idx="8">
                  <c:v>22378</c:v>
                </c:pt>
                <c:pt idx="9">
                  <c:v>24535</c:v>
                </c:pt>
                <c:pt idx="10">
                  <c:v>21400</c:v>
                </c:pt>
                <c:pt idx="11">
                  <c:v>21350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DA7-A06D-5453CE97CB52}"/>
            </c:ext>
          </c:extLst>
        </c:ser>
        <c:ser>
          <c:idx val="1"/>
          <c:order val="1"/>
          <c:tx>
            <c:strRef>
              <c:f>'LUV-sales-countries-World-123'!$B$34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'LUV-sales-countries-World-123'!$C$34:$N$34</c:f>
              <c:numCache>
                <c:formatCode>_-* #,##0\ _F_-;\-* #,##0\ _F_-;_-* "-"??\ _F_-;_-@_-</c:formatCode>
                <c:ptCount val="12"/>
                <c:pt idx="0">
                  <c:v>15429</c:v>
                </c:pt>
                <c:pt idx="1">
                  <c:v>26798</c:v>
                </c:pt>
                <c:pt idx="2">
                  <c:v>26085</c:v>
                </c:pt>
                <c:pt idx="3">
                  <c:v>22007</c:v>
                </c:pt>
                <c:pt idx="4">
                  <c:v>21625</c:v>
                </c:pt>
                <c:pt idx="5">
                  <c:v>21284</c:v>
                </c:pt>
                <c:pt idx="6">
                  <c:v>22096</c:v>
                </c:pt>
                <c:pt idx="7">
                  <c:v>17248</c:v>
                </c:pt>
                <c:pt idx="8">
                  <c:v>17503</c:v>
                </c:pt>
                <c:pt idx="9">
                  <c:v>21636</c:v>
                </c:pt>
                <c:pt idx="10">
                  <c:v>22928</c:v>
                </c:pt>
                <c:pt idx="11">
                  <c:v>17631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E-45C4-ADD8-0D775DDCDB43}"/>
            </c:ext>
          </c:extLst>
        </c:ser>
        <c:ser>
          <c:idx val="2"/>
          <c:order val="2"/>
          <c:tx>
            <c:strRef>
              <c:f>'LUV-sales-countries-World-123'!$B$35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'LUV-sales-countries-World-123'!$C$35:$N$35</c:f>
              <c:numCache>
                <c:formatCode>_-* #,##0\ _F_-;\-* #,##0\ _F_-;_-* "-"??\ _F_-;_-@_-</c:formatCode>
                <c:ptCount val="12"/>
                <c:pt idx="0">
                  <c:v>14768</c:v>
                </c:pt>
                <c:pt idx="1">
                  <c:v>15663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E-45C4-ADD8-0D775DDCD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77952"/>
        <c:axId val="228079488"/>
      </c:lineChart>
      <c:catAx>
        <c:axId val="2280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079488"/>
        <c:crosses val="autoZero"/>
        <c:auto val="1"/>
        <c:lblAlgn val="ctr"/>
        <c:lblOffset val="100"/>
        <c:noMultiLvlLbl val="0"/>
      </c:catAx>
      <c:valAx>
        <c:axId val="22807948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07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2596937756544094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'LUV-sales-countries-World-123'!$B$27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'LUV-sales-countries-World-123'!$C$27:$N$27</c:f>
              <c:numCache>
                <c:formatCode>_-* #,##0\ _F_-;\-* #,##0\ _F_-;_-* "-"??\ _F_-;_-@_-</c:formatCode>
                <c:ptCount val="12"/>
                <c:pt idx="0">
                  <c:v>112939</c:v>
                </c:pt>
                <c:pt idx="1">
                  <c:v>115135</c:v>
                </c:pt>
                <c:pt idx="2">
                  <c:v>120680</c:v>
                </c:pt>
                <c:pt idx="3">
                  <c:v>71671</c:v>
                </c:pt>
                <c:pt idx="4">
                  <c:v>74573</c:v>
                </c:pt>
                <c:pt idx="5">
                  <c:v>78268</c:v>
                </c:pt>
                <c:pt idx="6">
                  <c:v>76678</c:v>
                </c:pt>
                <c:pt idx="7">
                  <c:v>75500</c:v>
                </c:pt>
                <c:pt idx="8">
                  <c:v>79519</c:v>
                </c:pt>
                <c:pt idx="9">
                  <c:v>60712</c:v>
                </c:pt>
                <c:pt idx="10">
                  <c:v>57503</c:v>
                </c:pt>
                <c:pt idx="11">
                  <c:v>48245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8-4C4E-AE33-1E9F6D9521C5}"/>
            </c:ext>
          </c:extLst>
        </c:ser>
        <c:ser>
          <c:idx val="1"/>
          <c:order val="1"/>
          <c:tx>
            <c:strRef>
              <c:f>'LUV-sales-countries-World-123'!$B$28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'LUV-sales-countries-World-123'!$C$28:$N$28</c:f>
              <c:numCache>
                <c:formatCode>_-* #,##0\ _F_-;\-* #,##0\ _F_-;_-* "-"??\ _F_-;_-@_-</c:formatCode>
                <c:ptCount val="12"/>
                <c:pt idx="0">
                  <c:v>94316</c:v>
                </c:pt>
                <c:pt idx="1">
                  <c:v>91354</c:v>
                </c:pt>
                <c:pt idx="2">
                  <c:v>93488</c:v>
                </c:pt>
                <c:pt idx="3">
                  <c:v>109255</c:v>
                </c:pt>
                <c:pt idx="4">
                  <c:v>101272</c:v>
                </c:pt>
                <c:pt idx="5">
                  <c:v>102488</c:v>
                </c:pt>
                <c:pt idx="6">
                  <c:v>124973</c:v>
                </c:pt>
                <c:pt idx="7">
                  <c:v>131451</c:v>
                </c:pt>
                <c:pt idx="8">
                  <c:v>84737</c:v>
                </c:pt>
                <c:pt idx="9">
                  <c:v>92419</c:v>
                </c:pt>
                <c:pt idx="10">
                  <c:v>77723</c:v>
                </c:pt>
                <c:pt idx="11">
                  <c:v>64302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C8-4F42-AABC-9DE8CD04C57F}"/>
            </c:ext>
          </c:extLst>
        </c:ser>
        <c:ser>
          <c:idx val="2"/>
          <c:order val="2"/>
          <c:tx>
            <c:strRef>
              <c:f>'LUV-sales-countries-World-123'!$B$29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'LUV-sales-countries-World-123'!$C$29:$N$29</c:f>
              <c:numCache>
                <c:formatCode>_-* #,##0\ _F_-;\-* #,##0\ _F_-;_-* "-"??\ _F_-;_-@_-</c:formatCode>
                <c:ptCount val="12"/>
                <c:pt idx="0">
                  <c:v>94000</c:v>
                </c:pt>
                <c:pt idx="1">
                  <c:v>94000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8-4F42-AABC-9DE8CD04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35680"/>
        <c:axId val="228137216"/>
      </c:lineChart>
      <c:catAx>
        <c:axId val="2281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37216"/>
        <c:crosses val="autoZero"/>
        <c:auto val="1"/>
        <c:lblAlgn val="ctr"/>
        <c:lblOffset val="100"/>
        <c:noMultiLvlLbl val="0"/>
      </c:catAx>
      <c:valAx>
        <c:axId val="22813721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3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034002381002113"/>
          <c:w val="0.121311475409836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'LUV-sales-countries-World-123'!$B$15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'LUV-sales-countries-World-123'!$C$15:$N$15</c:f>
              <c:numCache>
                <c:formatCode>_-* #,##0\ _F_-;\-* #,##0\ _F_-;_-* "-"??\ _F_-;_-@_-</c:formatCode>
                <c:ptCount val="12"/>
                <c:pt idx="0">
                  <c:v>34274</c:v>
                </c:pt>
                <c:pt idx="1">
                  <c:v>31686</c:v>
                </c:pt>
                <c:pt idx="2">
                  <c:v>39166</c:v>
                </c:pt>
                <c:pt idx="3">
                  <c:v>37535</c:v>
                </c:pt>
                <c:pt idx="4">
                  <c:v>47581</c:v>
                </c:pt>
                <c:pt idx="5">
                  <c:v>44476</c:v>
                </c:pt>
                <c:pt idx="6">
                  <c:v>46563</c:v>
                </c:pt>
                <c:pt idx="7">
                  <c:v>53664</c:v>
                </c:pt>
                <c:pt idx="8">
                  <c:v>50741</c:v>
                </c:pt>
                <c:pt idx="9">
                  <c:v>43881</c:v>
                </c:pt>
                <c:pt idx="10">
                  <c:v>45228</c:v>
                </c:pt>
                <c:pt idx="11">
                  <c:v>52388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3C-45CD-9494-A53EEE0DD993}"/>
            </c:ext>
          </c:extLst>
        </c:ser>
        <c:ser>
          <c:idx val="1"/>
          <c:order val="1"/>
          <c:tx>
            <c:strRef>
              <c:f>'LUV-sales-countries-World-123'!$B$16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'LUV-sales-countries-World-123'!$C$16:$N$16</c:f>
              <c:numCache>
                <c:formatCode>_-* #,##0\ _F_-;\-* #,##0\ _F_-;_-* "-"??\ _F_-;_-@_-</c:formatCode>
                <c:ptCount val="12"/>
                <c:pt idx="0">
                  <c:v>38955</c:v>
                </c:pt>
                <c:pt idx="1">
                  <c:v>34065</c:v>
                </c:pt>
                <c:pt idx="2">
                  <c:v>52735</c:v>
                </c:pt>
                <c:pt idx="3">
                  <c:v>42557</c:v>
                </c:pt>
                <c:pt idx="4">
                  <c:v>38873</c:v>
                </c:pt>
                <c:pt idx="5">
                  <c:v>57657</c:v>
                </c:pt>
                <c:pt idx="6">
                  <c:v>48861</c:v>
                </c:pt>
                <c:pt idx="7">
                  <c:v>54239</c:v>
                </c:pt>
                <c:pt idx="8">
                  <c:v>41747</c:v>
                </c:pt>
                <c:pt idx="9">
                  <c:v>64497</c:v>
                </c:pt>
                <c:pt idx="10">
                  <c:v>51950</c:v>
                </c:pt>
                <c:pt idx="11">
                  <c:v>61896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E-4244-A981-2B188AE3E7DB}"/>
            </c:ext>
          </c:extLst>
        </c:ser>
        <c:ser>
          <c:idx val="2"/>
          <c:order val="2"/>
          <c:tx>
            <c:strRef>
              <c:f>'LUV-sales-countries-World-123'!$B$17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'LUV-sales-countries-World-123'!$C$17:$N$17</c:f>
              <c:numCache>
                <c:formatCode>_-* #,##0\ _F_-;\-* #,##0\ _F_-;_-* "-"??\ _F_-;_-@_-</c:formatCode>
                <c:ptCount val="12"/>
                <c:pt idx="0">
                  <c:v>43092</c:v>
                </c:pt>
                <c:pt idx="1">
                  <c:v>44891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AE-4244-A981-2B188AE3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93024"/>
        <c:axId val="228194560"/>
      </c:lineChart>
      <c:catAx>
        <c:axId val="22819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94560"/>
        <c:crosses val="autoZero"/>
        <c:auto val="1"/>
        <c:lblAlgn val="ctr"/>
        <c:lblOffset val="100"/>
        <c:noMultiLvlLbl val="0"/>
      </c:catAx>
      <c:valAx>
        <c:axId val="22819456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19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2381002113"/>
          <c:w val="0.127317922027368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'LUV-sales-countries-World-123'!$B$39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'LUV-sales-countries-World-123'!$C$39:$N$39</c:f>
              <c:numCache>
                <c:formatCode>_-* #,##0\ _F_-;\-* #,##0\ _F_-;_-* "-"??\ _F_-;_-@_-</c:formatCode>
                <c:ptCount val="12"/>
                <c:pt idx="0">
                  <c:v>9111</c:v>
                </c:pt>
                <c:pt idx="1">
                  <c:v>12011</c:v>
                </c:pt>
                <c:pt idx="2">
                  <c:v>14094</c:v>
                </c:pt>
                <c:pt idx="3">
                  <c:v>14471</c:v>
                </c:pt>
                <c:pt idx="4">
                  <c:v>13417</c:v>
                </c:pt>
                <c:pt idx="5">
                  <c:v>16518</c:v>
                </c:pt>
                <c:pt idx="6">
                  <c:v>11175</c:v>
                </c:pt>
                <c:pt idx="7">
                  <c:v>13106</c:v>
                </c:pt>
                <c:pt idx="8">
                  <c:v>17403</c:v>
                </c:pt>
                <c:pt idx="9">
                  <c:v>17782</c:v>
                </c:pt>
                <c:pt idx="10">
                  <c:v>23089</c:v>
                </c:pt>
                <c:pt idx="11">
                  <c:v>35172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7-4473-96EB-8D7C59EB6417}"/>
            </c:ext>
          </c:extLst>
        </c:ser>
        <c:ser>
          <c:idx val="1"/>
          <c:order val="1"/>
          <c:tx>
            <c:strRef>
              <c:f>'LUV-sales-countries-World-123'!$B$40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'LUV-sales-countries-World-123'!$C$40:$N$40</c:f>
              <c:numCache>
                <c:formatCode>_-* #,##0\ _F_-;\-* #,##0\ _F_-;_-* "-"??\ _F_-;_-@_-</c:formatCode>
                <c:ptCount val="12"/>
                <c:pt idx="0">
                  <c:v>13606</c:v>
                </c:pt>
                <c:pt idx="1">
                  <c:v>22241</c:v>
                </c:pt>
                <c:pt idx="2">
                  <c:v>24703</c:v>
                </c:pt>
                <c:pt idx="3">
                  <c:v>20281</c:v>
                </c:pt>
                <c:pt idx="4">
                  <c:v>24138</c:v>
                </c:pt>
                <c:pt idx="5">
                  <c:v>25166</c:v>
                </c:pt>
                <c:pt idx="6">
                  <c:v>26543</c:v>
                </c:pt>
                <c:pt idx="7">
                  <c:v>20323</c:v>
                </c:pt>
                <c:pt idx="8">
                  <c:v>17822</c:v>
                </c:pt>
                <c:pt idx="9">
                  <c:v>18756</c:v>
                </c:pt>
                <c:pt idx="10">
                  <c:v>23616</c:v>
                </c:pt>
                <c:pt idx="11">
                  <c:v>32237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2-4C57-BFF8-F45099C69E68}"/>
            </c:ext>
          </c:extLst>
        </c:ser>
        <c:ser>
          <c:idx val="2"/>
          <c:order val="2"/>
          <c:tx>
            <c:strRef>
              <c:f>'LUV-sales-countries-World-123'!$B$41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'LUV-sales-countries-World-123'!$C$41:$N$41</c:f>
              <c:numCache>
                <c:formatCode>_-* #,##0\ _F_-;\-* #,##0\ _F_-;_-* "-"??\ _F_-;_-@_-</c:formatCode>
                <c:ptCount val="12"/>
                <c:pt idx="0">
                  <c:v>15660</c:v>
                </c:pt>
                <c:pt idx="1">
                  <c:v>23713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2-4C57-BFF8-F45099C6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41792"/>
        <c:axId val="228243328"/>
      </c:lineChart>
      <c:catAx>
        <c:axId val="2282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243328"/>
        <c:crosses val="autoZero"/>
        <c:auto val="1"/>
        <c:lblAlgn val="ctr"/>
        <c:lblOffset val="100"/>
        <c:noMultiLvlLbl val="0"/>
      </c:catAx>
      <c:valAx>
        <c:axId val="22824332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24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06587657763"/>
          <c:y val="0.38236539876959824"/>
          <c:w val="0.12639971522629243"/>
          <c:h val="0.1929486807609216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'LUV-sales-countries-World-123'!$B$36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'LUV-sales-countries-World-123'!$C$36:$N$36</c:f>
              <c:numCache>
                <c:formatCode>_-* #,##0\ _F_-;\-* #,##0\ _F_-;_-* "-"??\ _F_-;_-@_-</c:formatCode>
                <c:ptCount val="12"/>
                <c:pt idx="0">
                  <c:v>41308</c:v>
                </c:pt>
                <c:pt idx="1">
                  <c:v>42744</c:v>
                </c:pt>
                <c:pt idx="2">
                  <c:v>51456</c:v>
                </c:pt>
                <c:pt idx="3">
                  <c:v>42937</c:v>
                </c:pt>
                <c:pt idx="4">
                  <c:v>47856</c:v>
                </c:pt>
                <c:pt idx="5">
                  <c:v>48977</c:v>
                </c:pt>
                <c:pt idx="6">
                  <c:v>46885</c:v>
                </c:pt>
                <c:pt idx="7">
                  <c:v>49689</c:v>
                </c:pt>
                <c:pt idx="8">
                  <c:v>47883</c:v>
                </c:pt>
                <c:pt idx="9">
                  <c:v>54150</c:v>
                </c:pt>
                <c:pt idx="10">
                  <c:v>54971</c:v>
                </c:pt>
                <c:pt idx="11">
                  <c:v>70209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F-4B96-AE54-F49925D47390}"/>
            </c:ext>
          </c:extLst>
        </c:ser>
        <c:ser>
          <c:idx val="1"/>
          <c:order val="1"/>
          <c:tx>
            <c:strRef>
              <c:f>'LUV-sales-countries-World-123'!$B$37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'LUV-sales-countries-World-123'!$C$37:$N$37</c:f>
              <c:numCache>
                <c:formatCode>_-* #,##0\ _F_-;\-* #,##0\ _F_-;_-* "-"??\ _F_-;_-@_-</c:formatCode>
                <c:ptCount val="12"/>
                <c:pt idx="0">
                  <c:v>53686</c:v>
                </c:pt>
                <c:pt idx="1">
                  <c:v>53619</c:v>
                </c:pt>
                <c:pt idx="2">
                  <c:v>63660</c:v>
                </c:pt>
                <c:pt idx="3">
                  <c:v>57721</c:v>
                </c:pt>
                <c:pt idx="4">
                  <c:v>60324</c:v>
                </c:pt>
                <c:pt idx="5">
                  <c:v>64662</c:v>
                </c:pt>
                <c:pt idx="6">
                  <c:v>63221</c:v>
                </c:pt>
                <c:pt idx="7">
                  <c:v>63104</c:v>
                </c:pt>
                <c:pt idx="8">
                  <c:v>67569</c:v>
                </c:pt>
                <c:pt idx="9">
                  <c:v>64817</c:v>
                </c:pt>
                <c:pt idx="10">
                  <c:v>71140</c:v>
                </c:pt>
                <c:pt idx="11">
                  <c:v>79819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1-4012-8699-510E064EB44E}"/>
            </c:ext>
          </c:extLst>
        </c:ser>
        <c:ser>
          <c:idx val="2"/>
          <c:order val="2"/>
          <c:tx>
            <c:strRef>
              <c:f>'LUV-sales-countries-World-123'!$B$38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'LUV-sales-countries-World-123'!$C$38:$N$38</c:f>
              <c:numCache>
                <c:formatCode>_-* #,##0\ _F_-;\-* #,##0\ _F_-;_-* "-"??\ _F_-;_-@_-</c:formatCode>
                <c:ptCount val="12"/>
                <c:pt idx="0">
                  <c:v>64123</c:v>
                </c:pt>
                <c:pt idx="1">
                  <c:v>65163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1-4012-8699-510E064EB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6848"/>
        <c:axId val="228288384"/>
      </c:lineChart>
      <c:catAx>
        <c:axId val="2282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288384"/>
        <c:crosses val="autoZero"/>
        <c:auto val="1"/>
        <c:lblAlgn val="ctr"/>
        <c:lblOffset val="100"/>
        <c:noMultiLvlLbl val="0"/>
      </c:catAx>
      <c:valAx>
        <c:axId val="22828838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2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80794790176594"/>
          <c:y val="0.38236539876959824"/>
          <c:w val="0.12111292962356793"/>
          <c:h val="0.19294868076092164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'LUV-sales-countries-World-123'!$B$18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'LUV-sales-countries-World-123'!$C$18:$N$18</c:f>
              <c:numCache>
                <c:formatCode>_-* #,##0\ _F_-;\-* #,##0\ _F_-;_-* "-"??\ _F_-;_-@_-</c:formatCode>
                <c:ptCount val="12"/>
                <c:pt idx="0">
                  <c:v>78212</c:v>
                </c:pt>
                <c:pt idx="1">
                  <c:v>82895</c:v>
                </c:pt>
                <c:pt idx="2">
                  <c:v>119671</c:v>
                </c:pt>
                <c:pt idx="3">
                  <c:v>119988</c:v>
                </c:pt>
                <c:pt idx="4">
                  <c:v>126069</c:v>
                </c:pt>
                <c:pt idx="5">
                  <c:v>105193</c:v>
                </c:pt>
                <c:pt idx="6">
                  <c:v>115099</c:v>
                </c:pt>
                <c:pt idx="7">
                  <c:v>110072</c:v>
                </c:pt>
                <c:pt idx="8">
                  <c:v>109246</c:v>
                </c:pt>
                <c:pt idx="9">
                  <c:v>108713</c:v>
                </c:pt>
                <c:pt idx="10">
                  <c:v>102601</c:v>
                </c:pt>
                <c:pt idx="11">
                  <c:v>67617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2-4165-A6B4-F7F84E1FC128}"/>
            </c:ext>
          </c:extLst>
        </c:ser>
        <c:ser>
          <c:idx val="1"/>
          <c:order val="1"/>
          <c:tx>
            <c:strRef>
              <c:f>'LUV-sales-countries-World-123'!$B$19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'LUV-sales-countries-World-123'!$C$19:$N$19</c:f>
              <c:numCache>
                <c:formatCode>_-* #,##0\ _F_-;\-* #,##0\ _F_-;_-* "-"??\ _F_-;_-@_-</c:formatCode>
                <c:ptCount val="12"/>
                <c:pt idx="0">
                  <c:v>84384</c:v>
                </c:pt>
                <c:pt idx="1">
                  <c:v>90485</c:v>
                </c:pt>
                <c:pt idx="2">
                  <c:v>124929</c:v>
                </c:pt>
                <c:pt idx="3">
                  <c:v>124452</c:v>
                </c:pt>
                <c:pt idx="4">
                  <c:v>134276</c:v>
                </c:pt>
                <c:pt idx="5">
                  <c:v>132808</c:v>
                </c:pt>
                <c:pt idx="6">
                  <c:v>121881</c:v>
                </c:pt>
                <c:pt idx="7">
                  <c:v>129597</c:v>
                </c:pt>
                <c:pt idx="8">
                  <c:v>130835</c:v>
                </c:pt>
                <c:pt idx="9">
                  <c:v>127270</c:v>
                </c:pt>
                <c:pt idx="10">
                  <c:v>120897</c:v>
                </c:pt>
                <c:pt idx="11">
                  <c:v>116342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3-468A-997B-FD55A80CE9D9}"/>
            </c:ext>
          </c:extLst>
        </c:ser>
        <c:ser>
          <c:idx val="2"/>
          <c:order val="2"/>
          <c:tx>
            <c:strRef>
              <c:f>'LUV-sales-countries-World-123'!$B$20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'LUV-sales-countries-World-123'!$C$20:$N$20</c:f>
              <c:numCache>
                <c:formatCode>_-* #,##0\ _F_-;\-* #,##0\ _F_-;_-* "-"??\ _F_-;_-@_-</c:formatCode>
                <c:ptCount val="12"/>
                <c:pt idx="0">
                  <c:v>97199</c:v>
                </c:pt>
                <c:pt idx="1">
                  <c:v>108700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3-468A-997B-FD55A80C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09728"/>
        <c:axId val="228411264"/>
      </c:lineChart>
      <c:catAx>
        <c:axId val="2284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411264"/>
        <c:crosses val="autoZero"/>
        <c:auto val="1"/>
        <c:lblAlgn val="ctr"/>
        <c:lblOffset val="100"/>
        <c:noMultiLvlLbl val="0"/>
      </c:catAx>
      <c:valAx>
        <c:axId val="228411264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40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39903596387787"/>
          <c:y val="0.38034009046741502"/>
          <c:w val="0.1273179220273688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'LUV-sales-countries-World-123'!$C$12:$N$12</c:f>
              <c:numCache>
                <c:formatCode>_-* #,##0\ _F_-;\-* #,##0\ _F_-;_-* "-"??\ _F_-;_-@_-</c:formatCode>
                <c:ptCount val="12"/>
                <c:pt idx="0">
                  <c:v>18259</c:v>
                </c:pt>
                <c:pt idx="1">
                  <c:v>21709</c:v>
                </c:pt>
                <c:pt idx="2">
                  <c:v>24194</c:v>
                </c:pt>
                <c:pt idx="3">
                  <c:v>19636</c:v>
                </c:pt>
                <c:pt idx="4">
                  <c:v>21528</c:v>
                </c:pt>
                <c:pt idx="5">
                  <c:v>23852</c:v>
                </c:pt>
                <c:pt idx="6">
                  <c:v>20064</c:v>
                </c:pt>
                <c:pt idx="7">
                  <c:v>22472</c:v>
                </c:pt>
                <c:pt idx="8">
                  <c:v>22252</c:v>
                </c:pt>
                <c:pt idx="9">
                  <c:v>21447</c:v>
                </c:pt>
                <c:pt idx="10">
                  <c:v>21424</c:v>
                </c:pt>
                <c:pt idx="11">
                  <c:v>19545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5-48D9-919D-8C5DEB45CCEF}"/>
            </c:ext>
          </c:extLst>
        </c:ser>
        <c:ser>
          <c:idx val="1"/>
          <c:order val="1"/>
          <c:tx>
            <c:strRef>
              <c:f>'LUV-sales-countries-World-123'!$B$13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'LUV-sales-countries-World-123'!$C$13:$N$13</c:f>
              <c:numCache>
                <c:formatCode>_-* #,##0\ _F_-;\-* #,##0\ _F_-;_-* "-"??\ _F_-;_-@_-</c:formatCode>
                <c:ptCount val="12"/>
                <c:pt idx="0">
                  <c:v>18546</c:v>
                </c:pt>
                <c:pt idx="1">
                  <c:v>18750</c:v>
                </c:pt>
                <c:pt idx="2">
                  <c:v>22012</c:v>
                </c:pt>
                <c:pt idx="3">
                  <c:v>17060</c:v>
                </c:pt>
                <c:pt idx="4">
                  <c:v>23824</c:v>
                </c:pt>
                <c:pt idx="5">
                  <c:v>28833</c:v>
                </c:pt>
                <c:pt idx="6">
                  <c:v>19244</c:v>
                </c:pt>
                <c:pt idx="7">
                  <c:v>24031</c:v>
                </c:pt>
                <c:pt idx="8">
                  <c:v>23793</c:v>
                </c:pt>
                <c:pt idx="9">
                  <c:v>25681</c:v>
                </c:pt>
                <c:pt idx="10">
                  <c:v>26772</c:v>
                </c:pt>
                <c:pt idx="11">
                  <c:v>25639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6-4306-A562-FBDB1F41B2E4}"/>
            </c:ext>
          </c:extLst>
        </c:ser>
        <c:ser>
          <c:idx val="2"/>
          <c:order val="2"/>
          <c:tx>
            <c:strRef>
              <c:f>'LUV-sales-countries-World-123'!$B$14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'LUV-sales-countries-World-123'!$C$14:$N$14</c:f>
              <c:numCache>
                <c:formatCode>_-* #,##0\ _F_-;\-* #,##0\ _F_-;_-* "-"??\ _F_-;_-@_-</c:formatCode>
                <c:ptCount val="12"/>
                <c:pt idx="0">
                  <c:v>23518</c:v>
                </c:pt>
                <c:pt idx="1">
                  <c:v>27640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6-4306-A562-FBDB1F41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4784"/>
        <c:axId val="228456320"/>
      </c:lineChart>
      <c:catAx>
        <c:axId val="2284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456320"/>
        <c:crosses val="autoZero"/>
        <c:auto val="1"/>
        <c:lblAlgn val="ctr"/>
        <c:lblOffset val="100"/>
        <c:noMultiLvlLbl val="0"/>
      </c:catAx>
      <c:valAx>
        <c:axId val="2284563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45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2618417949178129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'LUV-sales-countries-World-123'!$B$9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'LUV-sales-countries-World-123'!$C$9:$N$9</c:f>
              <c:numCache>
                <c:formatCode>_-* #,##0\ _F_-;\-* #,##0\ _F_-;_-* "-"??\ _F_-;_-@_-</c:formatCode>
                <c:ptCount val="12"/>
                <c:pt idx="0">
                  <c:v>11817</c:v>
                </c:pt>
                <c:pt idx="1">
                  <c:v>8207</c:v>
                </c:pt>
                <c:pt idx="2">
                  <c:v>10456</c:v>
                </c:pt>
                <c:pt idx="3">
                  <c:v>9134</c:v>
                </c:pt>
                <c:pt idx="4">
                  <c:v>10199</c:v>
                </c:pt>
                <c:pt idx="5">
                  <c:v>8794</c:v>
                </c:pt>
                <c:pt idx="6">
                  <c:v>11403</c:v>
                </c:pt>
                <c:pt idx="7">
                  <c:v>10988</c:v>
                </c:pt>
                <c:pt idx="8">
                  <c:v>10497</c:v>
                </c:pt>
                <c:pt idx="9">
                  <c:v>9063</c:v>
                </c:pt>
                <c:pt idx="10">
                  <c:v>12799</c:v>
                </c:pt>
                <c:pt idx="11">
                  <c:v>6670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5-48D9-919D-8C5DEB45CCEF}"/>
            </c:ext>
          </c:extLst>
        </c:ser>
        <c:ser>
          <c:idx val="1"/>
          <c:order val="1"/>
          <c:tx>
            <c:strRef>
              <c:f>'LUV-sales-countries-World-123'!$B$10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'LUV-sales-countries-World-123'!$C$10:$N$10</c:f>
              <c:numCache>
                <c:formatCode>_-* #,##0\ _F_-;\-* #,##0\ _F_-;_-* "-"??\ _F_-;_-@_-</c:formatCode>
                <c:ptCount val="12"/>
                <c:pt idx="0">
                  <c:v>12972</c:v>
                </c:pt>
                <c:pt idx="1">
                  <c:v>7670</c:v>
                </c:pt>
                <c:pt idx="2">
                  <c:v>9249</c:v>
                </c:pt>
                <c:pt idx="3">
                  <c:v>10937</c:v>
                </c:pt>
                <c:pt idx="4">
                  <c:v>13634</c:v>
                </c:pt>
                <c:pt idx="5">
                  <c:v>12687</c:v>
                </c:pt>
                <c:pt idx="6">
                  <c:v>13799</c:v>
                </c:pt>
                <c:pt idx="7">
                  <c:v>13433</c:v>
                </c:pt>
                <c:pt idx="8">
                  <c:v>13126</c:v>
                </c:pt>
                <c:pt idx="9">
                  <c:v>14212</c:v>
                </c:pt>
                <c:pt idx="10">
                  <c:v>12534</c:v>
                </c:pt>
                <c:pt idx="11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5-48D9-919D-8C5DEB45CCEF}"/>
            </c:ext>
          </c:extLst>
        </c:ser>
        <c:ser>
          <c:idx val="2"/>
          <c:order val="2"/>
          <c:tx>
            <c:strRef>
              <c:f>'LUV-sales-countries-World-123'!$B$11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'LUV-sales-countries-World-123'!$C$8:$N$8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'LUV-sales-countries-World-123'!$C$11:$N$11</c:f>
              <c:numCache>
                <c:formatCode>_-* #,##0\ _F_-;\-* #,##0\ _F_-;_-* "-"??\ _F_-;_-@_-</c:formatCode>
                <c:ptCount val="12"/>
                <c:pt idx="0">
                  <c:v>11101</c:v>
                </c:pt>
                <c:pt idx="1">
                  <c:v>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5-48D9-919D-8C5DEB45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04640"/>
        <c:axId val="228706176"/>
      </c:lineChart>
      <c:catAx>
        <c:axId val="2287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706176"/>
        <c:crosses val="autoZero"/>
        <c:auto val="1"/>
        <c:lblAlgn val="ctr"/>
        <c:lblOffset val="100"/>
        <c:noMultiLvlLbl val="0"/>
      </c:catAx>
      <c:valAx>
        <c:axId val="22870617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70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5598800788742972"/>
          <c:h val="0.239351929413078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'PC-sales-countries-World-123'!$B$46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'PC-sales-countries-World-123'!$C$46:$N$46</c:f>
              <c:numCache>
                <c:formatCode>_-* #,##0\ _F_-;\-* #,##0\ _F_-;_-* "-"??\ _F_-;_-@_-</c:formatCode>
                <c:ptCount val="12"/>
                <c:pt idx="0">
                  <c:v>5521</c:v>
                </c:pt>
                <c:pt idx="1">
                  <c:v>8551</c:v>
                </c:pt>
                <c:pt idx="2">
                  <c:v>8355</c:v>
                </c:pt>
                <c:pt idx="3">
                  <c:v>9289</c:v>
                </c:pt>
                <c:pt idx="4">
                  <c:v>11991</c:v>
                </c:pt>
                <c:pt idx="5">
                  <c:v>11091</c:v>
                </c:pt>
                <c:pt idx="6">
                  <c:v>10874</c:v>
                </c:pt>
                <c:pt idx="7">
                  <c:v>8658</c:v>
                </c:pt>
                <c:pt idx="8">
                  <c:v>8606</c:v>
                </c:pt>
                <c:pt idx="9">
                  <c:v>7790</c:v>
                </c:pt>
                <c:pt idx="10">
                  <c:v>8071</c:v>
                </c:pt>
                <c:pt idx="11">
                  <c:v>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8-47D2-AF8D-195EE5A300D0}"/>
            </c:ext>
          </c:extLst>
        </c:ser>
        <c:ser>
          <c:idx val="1"/>
          <c:order val="1"/>
          <c:tx>
            <c:strRef>
              <c:f>'PC-sales-countries-World-123'!$B$47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'PC-sales-countries-World-123'!$C$47:$N$47</c:f>
              <c:numCache>
                <c:formatCode>_-* #,##0\ _F_-;\-* #,##0\ _F_-;_-* "-"??\ _F_-;_-@_-</c:formatCode>
                <c:ptCount val="12"/>
                <c:pt idx="0">
                  <c:v>10532</c:v>
                </c:pt>
                <c:pt idx="1">
                  <c:v>9956</c:v>
                </c:pt>
                <c:pt idx="2">
                  <c:v>13284</c:v>
                </c:pt>
                <c:pt idx="3">
                  <c:v>10239</c:v>
                </c:pt>
                <c:pt idx="4">
                  <c:v>12957</c:v>
                </c:pt>
                <c:pt idx="5">
                  <c:v>13394</c:v>
                </c:pt>
                <c:pt idx="6">
                  <c:v>12380</c:v>
                </c:pt>
                <c:pt idx="7">
                  <c:v>10368</c:v>
                </c:pt>
                <c:pt idx="8">
                  <c:v>11400</c:v>
                </c:pt>
                <c:pt idx="9">
                  <c:v>11282</c:v>
                </c:pt>
                <c:pt idx="10">
                  <c:v>10452</c:v>
                </c:pt>
                <c:pt idx="11">
                  <c:v>8240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1-407C-994A-4F79E3B307BD}"/>
            </c:ext>
          </c:extLst>
        </c:ser>
        <c:ser>
          <c:idx val="2"/>
          <c:order val="2"/>
          <c:tx>
            <c:strRef>
              <c:f>'PC-sales-countries-World-123'!$B$48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'PC-sales-countries-World-123'!$C$6:$N$6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'PC-sales-countries-World-123'!$C$48:$N$48</c:f>
              <c:numCache>
                <c:formatCode>_-* #,##0\ _F_-;\-* #,##0\ _F_-;_-* "-"??\ _F_-;_-@_-</c:formatCode>
                <c:ptCount val="12"/>
                <c:pt idx="0">
                  <c:v>12752</c:v>
                </c:pt>
                <c:pt idx="1">
                  <c:v>11461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1-407C-994A-4F79E3B30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4128"/>
        <c:axId val="60465920"/>
      </c:lineChart>
      <c:catAx>
        <c:axId val="604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65920"/>
        <c:crosses val="autoZero"/>
        <c:auto val="1"/>
        <c:lblAlgn val="ctr"/>
        <c:lblOffset val="100"/>
        <c:noMultiLvlLbl val="0"/>
      </c:catAx>
      <c:valAx>
        <c:axId val="6046592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46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236539876959824"/>
          <c:w val="0.12639968689245468"/>
          <c:h val="0.19346085015705078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'[1]LUV-sales-countries-Cumul-World'!$B$43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'[1]LUV-sales-countries-Cumul-World'!$C$43:$N$43</c:f>
              <c:numCache>
                <c:formatCode>General</c:formatCode>
                <c:ptCount val="12"/>
                <c:pt idx="0">
                  <c:v>136551</c:v>
                </c:pt>
                <c:pt idx="1">
                  <c:v>265415</c:v>
                </c:pt>
                <c:pt idx="2">
                  <c:v>483286</c:v>
                </c:pt>
                <c:pt idx="3">
                  <c:v>624666</c:v>
                </c:pt>
                <c:pt idx="4">
                  <c:v>785231</c:v>
                </c:pt>
                <c:pt idx="5">
                  <c:v>970609</c:v>
                </c:pt>
                <c:pt idx="6">
                  <c:v>1114796</c:v>
                </c:pt>
                <c:pt idx="7">
                  <c:v>1231690</c:v>
                </c:pt>
                <c:pt idx="8">
                  <c:v>1413240</c:v>
                </c:pt>
                <c:pt idx="9">
                  <c:v>1573485</c:v>
                </c:pt>
                <c:pt idx="10">
                  <c:v>1740495</c:v>
                </c:pt>
                <c:pt idx="11">
                  <c:v>1903559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8-4933-A8A6-0B57A5DBE746}"/>
            </c:ext>
          </c:extLst>
        </c:ser>
        <c:ser>
          <c:idx val="1"/>
          <c:order val="1"/>
          <c:tx>
            <c:strRef>
              <c:f>'[1]LUV-sales-countries-Cumul-World'!$B$44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'[1]LUV-sales-countries-Cumul-World'!$C$44:$N$44</c:f>
              <c:numCache>
                <c:formatCode>General</c:formatCode>
                <c:ptCount val="12"/>
                <c:pt idx="0">
                  <c:v>145480</c:v>
                </c:pt>
                <c:pt idx="1">
                  <c:v>281879</c:v>
                </c:pt>
                <c:pt idx="2">
                  <c:v>493951</c:v>
                </c:pt>
                <c:pt idx="3">
                  <c:v>648483</c:v>
                </c:pt>
                <c:pt idx="4">
                  <c:v>815762</c:v>
                </c:pt>
                <c:pt idx="5">
                  <c:v>1015406</c:v>
                </c:pt>
                <c:pt idx="6">
                  <c:v>1158895</c:v>
                </c:pt>
                <c:pt idx="7">
                  <c:v>1283188</c:v>
                </c:pt>
                <c:pt idx="8">
                  <c:v>1453354</c:v>
                </c:pt>
                <c:pt idx="9">
                  <c:v>1623821</c:v>
                </c:pt>
                <c:pt idx="10">
                  <c:v>1793752</c:v>
                </c:pt>
                <c:pt idx="11">
                  <c:v>1951091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8-4933-A8A6-0B57A5DBE746}"/>
            </c:ext>
          </c:extLst>
        </c:ser>
        <c:ser>
          <c:idx val="2"/>
          <c:order val="2"/>
          <c:tx>
            <c:strRef>
              <c:f>'[1]LUV-sales-countries-Cumul-World'!$B$45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'[1]LUV-sales-countries-Cumul-World'!$C$45:$N$45</c:f>
              <c:numCache>
                <c:formatCode>General</c:formatCode>
                <c:ptCount val="12"/>
                <c:pt idx="0">
                  <c:v>153090</c:v>
                </c:pt>
                <c:pt idx="1">
                  <c:v>294641</c:v>
                </c:pt>
                <c:pt idx="2">
                  <c:v>509641</c:v>
                </c:pt>
                <c:pt idx="3">
                  <c:v>684269</c:v>
                </c:pt>
                <c:pt idx="4">
                  <c:v>854269</c:v>
                </c:pt>
                <c:pt idx="5">
                  <c:v>1052005</c:v>
                </c:pt>
                <c:pt idx="6">
                  <c:v>1197005</c:v>
                </c:pt>
                <c:pt idx="7">
                  <c:v>1321005</c:v>
                </c:pt>
                <c:pt idx="8">
                  <c:v>1521480</c:v>
                </c:pt>
                <c:pt idx="9">
                  <c:v>1681875</c:v>
                </c:pt>
                <c:pt idx="10">
                  <c:v>1839198</c:v>
                </c:pt>
                <c:pt idx="11">
                  <c:v>2011325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8-4933-A8A6-0B57A5DBE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11744"/>
        <c:axId val="350364032"/>
      </c:lineChart>
      <c:catAx>
        <c:axId val="2289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364032"/>
        <c:crosses val="autoZero"/>
        <c:auto val="1"/>
        <c:lblAlgn val="ctr"/>
        <c:lblOffset val="100"/>
        <c:noMultiLvlLbl val="0"/>
      </c:catAx>
      <c:valAx>
        <c:axId val="3503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911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'[1]LUV-sales-countries-Cumul-World'!$C$19:$N$19</c:f>
              <c:numCache>
                <c:formatCode>General</c:formatCode>
                <c:ptCount val="12"/>
                <c:pt idx="0">
                  <c:v>301313</c:v>
                </c:pt>
                <c:pt idx="1">
                  <c:v>607813</c:v>
                </c:pt>
                <c:pt idx="2">
                  <c:v>1054413</c:v>
                </c:pt>
                <c:pt idx="3">
                  <c:v>1416155</c:v>
                </c:pt>
                <c:pt idx="4">
                  <c:v>1760880</c:v>
                </c:pt>
                <c:pt idx="5">
                  <c:v>2100950</c:v>
                </c:pt>
                <c:pt idx="6">
                  <c:v>2393762</c:v>
                </c:pt>
                <c:pt idx="7">
                  <c:v>2704577</c:v>
                </c:pt>
                <c:pt idx="8">
                  <c:v>3071139</c:v>
                </c:pt>
                <c:pt idx="9">
                  <c:v>3422208</c:v>
                </c:pt>
                <c:pt idx="10">
                  <c:v>3790345</c:v>
                </c:pt>
                <c:pt idx="11">
                  <c:v>4160583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1-4B0F-99CA-BACFBE443D04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'[1]LUV-sales-countries-Cumul-World'!$C$20:$N$20</c:f>
              <c:numCache>
                <c:formatCode>General</c:formatCode>
                <c:ptCount val="12"/>
                <c:pt idx="0">
                  <c:v>353100</c:v>
                </c:pt>
                <c:pt idx="1">
                  <c:v>595145</c:v>
                </c:pt>
                <c:pt idx="2">
                  <c:v>1082834</c:v>
                </c:pt>
                <c:pt idx="3">
                  <c:v>1487017</c:v>
                </c:pt>
                <c:pt idx="4">
                  <c:v>1885309</c:v>
                </c:pt>
                <c:pt idx="5">
                  <c:v>2284797</c:v>
                </c:pt>
                <c:pt idx="6">
                  <c:v>2584368</c:v>
                </c:pt>
                <c:pt idx="7">
                  <c:v>2897856</c:v>
                </c:pt>
                <c:pt idx="8">
                  <c:v>3231440</c:v>
                </c:pt>
                <c:pt idx="9">
                  <c:v>3564727</c:v>
                </c:pt>
                <c:pt idx="10">
                  <c:v>3939061</c:v>
                </c:pt>
                <c:pt idx="11">
                  <c:v>4370800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1-4B0F-99CA-BACFBE443D04}"/>
            </c:ext>
          </c:extLst>
        </c:ser>
        <c:ser>
          <c:idx val="2"/>
          <c:order val="2"/>
          <c:tx>
            <c:strRef>
              <c:f>'[1]LUV-sales-countries-Cumul-World'!$B$9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'[1]LUV-sales-countries-Cumul-World'!$C$21:$N$21</c:f>
              <c:numCache>
                <c:formatCode>General</c:formatCode>
                <c:ptCount val="12"/>
                <c:pt idx="0">
                  <c:v>346189</c:v>
                </c:pt>
                <c:pt idx="1">
                  <c:v>608294</c:v>
                </c:pt>
                <c:pt idx="2">
                  <c:v>1108864</c:v>
                </c:pt>
                <c:pt idx="3">
                  <c:v>1514484</c:v>
                </c:pt>
                <c:pt idx="4">
                  <c:v>1865884</c:v>
                </c:pt>
                <c:pt idx="5">
                  <c:v>2194406</c:v>
                </c:pt>
                <c:pt idx="6">
                  <c:v>2474973</c:v>
                </c:pt>
                <c:pt idx="7">
                  <c:v>2779637</c:v>
                </c:pt>
                <c:pt idx="8">
                  <c:v>3119683</c:v>
                </c:pt>
                <c:pt idx="9">
                  <c:v>3476184</c:v>
                </c:pt>
                <c:pt idx="10">
                  <c:v>3876394</c:v>
                </c:pt>
                <c:pt idx="11">
                  <c:v>4324497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61-4B0F-99CA-BACFBE44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90912"/>
        <c:axId val="350396800"/>
      </c:lineChart>
      <c:catAx>
        <c:axId val="3503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396800"/>
        <c:crosses val="autoZero"/>
        <c:auto val="1"/>
        <c:lblAlgn val="ctr"/>
        <c:lblOffset val="100"/>
        <c:noMultiLvlLbl val="0"/>
      </c:catAx>
      <c:valAx>
        <c:axId val="3503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390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'[1]LUV-sales-countries-Cumul-World'!$C$25:$N$25</c:f>
              <c:numCache>
                <c:formatCode>General</c:formatCode>
                <c:ptCount val="12"/>
                <c:pt idx="0">
                  <c:v>61239</c:v>
                </c:pt>
                <c:pt idx="1">
                  <c:v>128178</c:v>
                </c:pt>
                <c:pt idx="2">
                  <c:v>215435</c:v>
                </c:pt>
                <c:pt idx="3">
                  <c:v>256925</c:v>
                </c:pt>
                <c:pt idx="4">
                  <c:v>310382</c:v>
                </c:pt>
                <c:pt idx="5">
                  <c:v>367272</c:v>
                </c:pt>
                <c:pt idx="6">
                  <c:v>426272</c:v>
                </c:pt>
                <c:pt idx="7">
                  <c:v>491582</c:v>
                </c:pt>
                <c:pt idx="8">
                  <c:v>568777</c:v>
                </c:pt>
                <c:pt idx="9">
                  <c:v>638570</c:v>
                </c:pt>
                <c:pt idx="10">
                  <c:v>707416</c:v>
                </c:pt>
                <c:pt idx="11">
                  <c:v>789778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3-4089-A66A-51A286FE0941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'[1]LUV-sales-countries-Cumul-World'!$C$26:$N$26</c:f>
              <c:numCache>
                <c:formatCode>General</c:formatCode>
                <c:ptCount val="12"/>
                <c:pt idx="0">
                  <c:v>85660</c:v>
                </c:pt>
                <c:pt idx="1">
                  <c:v>173437</c:v>
                </c:pt>
                <c:pt idx="2">
                  <c:v>282118</c:v>
                </c:pt>
                <c:pt idx="3">
                  <c:v>355111</c:v>
                </c:pt>
                <c:pt idx="4">
                  <c:v>431589</c:v>
                </c:pt>
                <c:pt idx="5">
                  <c:v>512213</c:v>
                </c:pt>
                <c:pt idx="6">
                  <c:v>588710</c:v>
                </c:pt>
                <c:pt idx="7">
                  <c:v>673378</c:v>
                </c:pt>
                <c:pt idx="8">
                  <c:v>769245</c:v>
                </c:pt>
                <c:pt idx="9">
                  <c:v>856392</c:v>
                </c:pt>
                <c:pt idx="10">
                  <c:v>929204</c:v>
                </c:pt>
                <c:pt idx="11">
                  <c:v>1005188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3-4089-A66A-51A286FE0941}"/>
            </c:ext>
          </c:extLst>
        </c:ser>
        <c:ser>
          <c:idx val="2"/>
          <c:order val="2"/>
          <c:tx>
            <c:strRef>
              <c:f>'[1]LUV-sales-countries-Cumul-World'!$C$9:$D$9</c:f>
              <c:strCache>
                <c:ptCount val="1"/>
                <c:pt idx="0">
                  <c:v>13048 21921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'[1]LUV-sales-countries-Cumul-World'!$C$27:$N$27</c:f>
              <c:numCache>
                <c:formatCode>General</c:formatCode>
                <c:ptCount val="12"/>
                <c:pt idx="0">
                  <c:v>87591</c:v>
                </c:pt>
                <c:pt idx="1">
                  <c:v>175027</c:v>
                </c:pt>
                <c:pt idx="2">
                  <c:v>284057</c:v>
                </c:pt>
                <c:pt idx="3">
                  <c:v>352737</c:v>
                </c:pt>
                <c:pt idx="4">
                  <c:v>421584</c:v>
                </c:pt>
                <c:pt idx="5">
                  <c:v>492355</c:v>
                </c:pt>
                <c:pt idx="6">
                  <c:v>549221</c:v>
                </c:pt>
                <c:pt idx="7">
                  <c:v>601118</c:v>
                </c:pt>
                <c:pt idx="8">
                  <c:v>659537</c:v>
                </c:pt>
                <c:pt idx="9">
                  <c:v>726310</c:v>
                </c:pt>
                <c:pt idx="10">
                  <c:v>788217</c:v>
                </c:pt>
                <c:pt idx="11">
                  <c:v>854839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3-4089-A66A-51A286FE0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42112"/>
        <c:axId val="350417280"/>
      </c:lineChart>
      <c:catAx>
        <c:axId val="2288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417280"/>
        <c:crosses val="autoZero"/>
        <c:auto val="1"/>
        <c:lblAlgn val="ctr"/>
        <c:lblOffset val="100"/>
        <c:noMultiLvlLbl val="0"/>
      </c:catAx>
      <c:valAx>
        <c:axId val="3504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84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'[1]LUV-sales-countries-Cumul-World'!$C$34:$N$34</c:f>
              <c:numCache>
                <c:formatCode>General</c:formatCode>
                <c:ptCount val="12"/>
                <c:pt idx="0">
                  <c:v>41560</c:v>
                </c:pt>
                <c:pt idx="1">
                  <c:v>80484</c:v>
                </c:pt>
                <c:pt idx="2">
                  <c:v>128100</c:v>
                </c:pt>
                <c:pt idx="3">
                  <c:v>169799</c:v>
                </c:pt>
                <c:pt idx="4">
                  <c:v>214563</c:v>
                </c:pt>
                <c:pt idx="5">
                  <c:v>258649</c:v>
                </c:pt>
                <c:pt idx="6">
                  <c:v>301793</c:v>
                </c:pt>
                <c:pt idx="7">
                  <c:v>347267</c:v>
                </c:pt>
                <c:pt idx="8">
                  <c:v>390422</c:v>
                </c:pt>
                <c:pt idx="9">
                  <c:v>437164</c:v>
                </c:pt>
                <c:pt idx="10">
                  <c:v>486930</c:v>
                </c:pt>
                <c:pt idx="11">
                  <c:v>546236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1-45A8-AF8C-BD01005F5B77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'[1]LUV-sales-countries-Cumul-World'!$C$35:$N$35</c:f>
              <c:numCache>
                <c:formatCode>General</c:formatCode>
                <c:ptCount val="12"/>
                <c:pt idx="0">
                  <c:v>41953</c:v>
                </c:pt>
                <c:pt idx="1">
                  <c:v>82365</c:v>
                </c:pt>
                <c:pt idx="2">
                  <c:v>126156</c:v>
                </c:pt>
                <c:pt idx="3">
                  <c:v>166628</c:v>
                </c:pt>
                <c:pt idx="4">
                  <c:v>211498</c:v>
                </c:pt>
                <c:pt idx="5">
                  <c:v>257792</c:v>
                </c:pt>
                <c:pt idx="6">
                  <c:v>299591</c:v>
                </c:pt>
                <c:pt idx="7">
                  <c:v>343006</c:v>
                </c:pt>
                <c:pt idx="8">
                  <c:v>386753</c:v>
                </c:pt>
                <c:pt idx="9">
                  <c:v>433651</c:v>
                </c:pt>
                <c:pt idx="10">
                  <c:v>485900</c:v>
                </c:pt>
                <c:pt idx="11">
                  <c:v>541368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1-45A8-AF8C-BD01005F5B77}"/>
            </c:ext>
          </c:extLst>
        </c:ser>
        <c:ser>
          <c:idx val="2"/>
          <c:order val="2"/>
          <c:tx>
            <c:strRef>
              <c:f>'[1]LUV-sales-countries-Cumul-World'!$B$9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'[1]LUV-sales-countries-Cumul-World'!$C$36:$N$36</c:f>
              <c:numCache>
                <c:formatCode>General</c:formatCode>
                <c:ptCount val="12"/>
                <c:pt idx="0">
                  <c:v>42958</c:v>
                </c:pt>
                <c:pt idx="1">
                  <c:v>85189</c:v>
                </c:pt>
                <c:pt idx="2">
                  <c:v>134631</c:v>
                </c:pt>
                <c:pt idx="3">
                  <c:v>176349</c:v>
                </c:pt>
                <c:pt idx="4">
                  <c:v>218906</c:v>
                </c:pt>
                <c:pt idx="5">
                  <c:v>261392</c:v>
                </c:pt>
                <c:pt idx="6">
                  <c:v>304422</c:v>
                </c:pt>
                <c:pt idx="7">
                  <c:v>349014</c:v>
                </c:pt>
                <c:pt idx="8">
                  <c:v>391721</c:v>
                </c:pt>
                <c:pt idx="9">
                  <c:v>436277</c:v>
                </c:pt>
                <c:pt idx="10">
                  <c:v>490467</c:v>
                </c:pt>
                <c:pt idx="11">
                  <c:v>543133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1-45A8-AF8C-BD01005F5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05600"/>
        <c:axId val="350511488"/>
      </c:lineChart>
      <c:catAx>
        <c:axId val="3505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511488"/>
        <c:crosses val="autoZero"/>
        <c:auto val="1"/>
        <c:lblAlgn val="ctr"/>
        <c:lblOffset val="100"/>
        <c:noMultiLvlLbl val="0"/>
      </c:catAx>
      <c:valAx>
        <c:axId val="3505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0505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'[1]LUV-sales-countries-Cumul-World'!$B$7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'[1]LUV-sales-countries-Cumul-World'!$C$7:$N$7</c:f>
              <c:numCache>
                <c:formatCode>General</c:formatCode>
                <c:ptCount val="12"/>
                <c:pt idx="0">
                  <c:v>20983</c:v>
                </c:pt>
                <c:pt idx="1">
                  <c:v>33406</c:v>
                </c:pt>
                <c:pt idx="2">
                  <c:v>49969</c:v>
                </c:pt>
                <c:pt idx="3">
                  <c:v>64211</c:v>
                </c:pt>
                <c:pt idx="4">
                  <c:v>80860</c:v>
                </c:pt>
                <c:pt idx="5">
                  <c:v>98319</c:v>
                </c:pt>
                <c:pt idx="6">
                  <c:v>115756</c:v>
                </c:pt>
                <c:pt idx="7">
                  <c:v>134916</c:v>
                </c:pt>
                <c:pt idx="8">
                  <c:v>153618</c:v>
                </c:pt>
                <c:pt idx="9">
                  <c:v>170636</c:v>
                </c:pt>
                <c:pt idx="10">
                  <c:v>186881</c:v>
                </c:pt>
                <c:pt idx="11">
                  <c:v>197952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2-488E-B623-6C494C72BB3E}"/>
            </c:ext>
          </c:extLst>
        </c:ser>
        <c:ser>
          <c:idx val="1"/>
          <c:order val="1"/>
          <c:tx>
            <c:strRef>
              <c:f>'[1]LUV-sales-countries-Cumul-World'!$B$8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'[1]LUV-sales-countries-Cumul-World'!$C$8:$N$8</c:f>
              <c:numCache>
                <c:formatCode>General</c:formatCode>
                <c:ptCount val="12"/>
                <c:pt idx="0">
                  <c:v>25184</c:v>
                </c:pt>
                <c:pt idx="1">
                  <c:v>38601</c:v>
                </c:pt>
                <c:pt idx="2">
                  <c:v>54019</c:v>
                </c:pt>
                <c:pt idx="3">
                  <c:v>68786</c:v>
                </c:pt>
                <c:pt idx="4">
                  <c:v>85281</c:v>
                </c:pt>
                <c:pt idx="5">
                  <c:v>98066</c:v>
                </c:pt>
                <c:pt idx="6">
                  <c:v>112542</c:v>
                </c:pt>
                <c:pt idx="7">
                  <c:v>126131</c:v>
                </c:pt>
                <c:pt idx="8">
                  <c:v>136932</c:v>
                </c:pt>
                <c:pt idx="9">
                  <c:v>146837</c:v>
                </c:pt>
                <c:pt idx="10">
                  <c:v>155781</c:v>
                </c:pt>
                <c:pt idx="11">
                  <c:v>161952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2-488E-B623-6C494C72BB3E}"/>
            </c:ext>
          </c:extLst>
        </c:ser>
        <c:ser>
          <c:idx val="2"/>
          <c:order val="2"/>
          <c:tx>
            <c:strRef>
              <c:f>'[1]LUV-sales-countries-Cumul-World'!$B$9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'[1]LUV-sales-countries-Cumul-World'!$C$6:$N$6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'[1]LUV-sales-countries-Cumul-World'!$C$9:$N$9</c:f>
              <c:numCache>
                <c:formatCode>General</c:formatCode>
                <c:ptCount val="12"/>
                <c:pt idx="0">
                  <c:v>13048</c:v>
                </c:pt>
                <c:pt idx="1">
                  <c:v>21921</c:v>
                </c:pt>
                <c:pt idx="2">
                  <c:v>30239</c:v>
                </c:pt>
                <c:pt idx="3">
                  <c:v>39643</c:v>
                </c:pt>
                <c:pt idx="4">
                  <c:v>47519</c:v>
                </c:pt>
                <c:pt idx="5">
                  <c:v>55116</c:v>
                </c:pt>
                <c:pt idx="6">
                  <c:v>64740</c:v>
                </c:pt>
                <c:pt idx="7">
                  <c:v>77053</c:v>
                </c:pt>
                <c:pt idx="8">
                  <c:v>87664</c:v>
                </c:pt>
                <c:pt idx="9">
                  <c:v>96160</c:v>
                </c:pt>
                <c:pt idx="10">
                  <c:v>102918</c:v>
                </c:pt>
                <c:pt idx="11">
                  <c:v>107068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62-488E-B623-6C494C72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600512"/>
        <c:axId val="363622784"/>
      </c:lineChart>
      <c:catAx>
        <c:axId val="3636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22784"/>
        <c:crosses val="autoZero"/>
        <c:auto val="1"/>
        <c:lblAlgn val="ctr"/>
        <c:lblOffset val="100"/>
        <c:noMultiLvlLbl val="0"/>
      </c:catAx>
      <c:valAx>
        <c:axId val="36362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6005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'LUV-sales-countries-Cumul-World'!$B$24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'LUV-sales-countries-Cumul-World'!$C$24:$N$24</c:f>
              <c:numCache>
                <c:formatCode>_-* #,##0\ _F_-;\-* #,##0\ _F_-;_-* "-"??\ _F_-;_-@_-</c:formatCode>
                <c:ptCount val="12"/>
                <c:pt idx="0">
                  <c:v>120628</c:v>
                </c:pt>
                <c:pt idx="1">
                  <c:v>247858</c:v>
                </c:pt>
                <c:pt idx="2">
                  <c:v>416519</c:v>
                </c:pt>
                <c:pt idx="3">
                  <c:v>542411</c:v>
                </c:pt>
                <c:pt idx="4">
                  <c:v>678150</c:v>
                </c:pt>
                <c:pt idx="5">
                  <c:v>824819</c:v>
                </c:pt>
                <c:pt idx="6">
                  <c:v>943903</c:v>
                </c:pt>
                <c:pt idx="7">
                  <c:v>1052124</c:v>
                </c:pt>
                <c:pt idx="8">
                  <c:v>1197853</c:v>
                </c:pt>
                <c:pt idx="9">
                  <c:v>1327243</c:v>
                </c:pt>
                <c:pt idx="10">
                  <c:v>1467751</c:v>
                </c:pt>
                <c:pt idx="11">
                  <c:v>1616706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8-4F60-BBE4-AF73DD14C117}"/>
            </c:ext>
          </c:extLst>
        </c:ser>
        <c:ser>
          <c:idx val="1"/>
          <c:order val="1"/>
          <c:tx>
            <c:strRef>
              <c:f>'LUV-sales-countries-Cumul-World'!$B$25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'LUV-sales-countries-Cumul-World'!$C$25:$N$25</c:f>
              <c:numCache>
                <c:formatCode>_-* #,##0\ _F_-;\-* #,##0\ _F_-;_-* "-"??\ _F_-;_-@_-</c:formatCode>
                <c:ptCount val="12"/>
                <c:pt idx="0">
                  <c:v>152078</c:v>
                </c:pt>
                <c:pt idx="1">
                  <c:v>304156</c:v>
                </c:pt>
                <c:pt idx="2">
                  <c:v>456234</c:v>
                </c:pt>
                <c:pt idx="3">
                  <c:v>614497</c:v>
                </c:pt>
                <c:pt idx="4">
                  <c:v>772760</c:v>
                </c:pt>
                <c:pt idx="5">
                  <c:v>931023</c:v>
                </c:pt>
                <c:pt idx="6">
                  <c:v>1081221</c:v>
                </c:pt>
                <c:pt idx="7">
                  <c:v>1231419</c:v>
                </c:pt>
                <c:pt idx="8">
                  <c:v>1381617</c:v>
                </c:pt>
                <c:pt idx="9">
                  <c:v>1545237</c:v>
                </c:pt>
                <c:pt idx="10">
                  <c:v>1708857</c:v>
                </c:pt>
                <c:pt idx="11">
                  <c:v>1872477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F-46E1-A2B7-ED52BF1DFBA2}"/>
            </c:ext>
          </c:extLst>
        </c:ser>
        <c:ser>
          <c:idx val="2"/>
          <c:order val="2"/>
          <c:tx>
            <c:strRef>
              <c:f>'LUV-sales-countries-Cumul-World'!$B$26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'LUV-sales-countries-Cumul-World'!$C$26:$N$26</c:f>
              <c:numCache>
                <c:formatCode>_-* #,##0\ _F_-;\-* #,##0\ _F_-;_-* "-"??\ _F_-;_-@_-</c:formatCode>
                <c:ptCount val="12"/>
                <c:pt idx="0">
                  <c:v>109918</c:v>
                </c:pt>
                <c:pt idx="1">
                  <c:v>225393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F-46E1-A2B7-ED52BF1D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57568"/>
        <c:axId val="364159360"/>
      </c:lineChart>
      <c:catAx>
        <c:axId val="3641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159360"/>
        <c:crosses val="autoZero"/>
        <c:auto val="1"/>
        <c:lblAlgn val="ctr"/>
        <c:lblOffset val="100"/>
        <c:noMultiLvlLbl val="0"/>
      </c:catAx>
      <c:valAx>
        <c:axId val="364159360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15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48209937613218"/>
          <c:y val="0.39795769892158706"/>
          <c:w val="0.12725100547431173"/>
          <c:h val="0.1935892332969229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'LUV-sales-countries-Cumul-World'!$B$42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'LUV-sales-countries-Cumul-World'!$C$42:$N$42</c:f>
              <c:numCache>
                <c:formatCode>_-* #,##0\ _F_-;\-* #,##0\ _F_-;_-* "-"??\ _F_-;_-@_-</c:formatCode>
                <c:ptCount val="12"/>
                <c:pt idx="0">
                  <c:v>224125</c:v>
                </c:pt>
                <c:pt idx="1">
                  <c:v>484551</c:v>
                </c:pt>
                <c:pt idx="2">
                  <c:v>715385</c:v>
                </c:pt>
                <c:pt idx="3">
                  <c:v>957603</c:v>
                </c:pt>
                <c:pt idx="4">
                  <c:v>1175935</c:v>
                </c:pt>
                <c:pt idx="5">
                  <c:v>1407161</c:v>
                </c:pt>
                <c:pt idx="6">
                  <c:v>1644839</c:v>
                </c:pt>
                <c:pt idx="7">
                  <c:v>1860631</c:v>
                </c:pt>
                <c:pt idx="8">
                  <c:v>2009041</c:v>
                </c:pt>
                <c:pt idx="9">
                  <c:v>2241552</c:v>
                </c:pt>
                <c:pt idx="10">
                  <c:v>2461767</c:v>
                </c:pt>
                <c:pt idx="11">
                  <c:v>2733760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9-415C-934D-7497AF526AD9}"/>
            </c:ext>
          </c:extLst>
        </c:ser>
        <c:ser>
          <c:idx val="1"/>
          <c:order val="1"/>
          <c:tx>
            <c:strRef>
              <c:f>'LUV-sales-countries-Cumul-World'!$B$43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'LUV-sales-countries-Cumul-World'!$C$43:$N$43</c:f>
              <c:numCache>
                <c:formatCode>_-* #,##0\ _F_-;\-* #,##0\ _F_-;_-* "-"??\ _F_-;_-@_-</c:formatCode>
                <c:ptCount val="12"/>
                <c:pt idx="0">
                  <c:v>207987</c:v>
                </c:pt>
                <c:pt idx="1">
                  <c:v>420257</c:v>
                </c:pt>
                <c:pt idx="2">
                  <c:v>662633</c:v>
                </c:pt>
                <c:pt idx="3">
                  <c:v>911795</c:v>
                </c:pt>
                <c:pt idx="4">
                  <c:v>1168265</c:v>
                </c:pt>
                <c:pt idx="5">
                  <c:v>1434541</c:v>
                </c:pt>
                <c:pt idx="6">
                  <c:v>1674265</c:v>
                </c:pt>
                <c:pt idx="7">
                  <c:v>1919200</c:v>
                </c:pt>
                <c:pt idx="8">
                  <c:v>2164081</c:v>
                </c:pt>
                <c:pt idx="9">
                  <c:v>2374502</c:v>
                </c:pt>
                <c:pt idx="10">
                  <c:v>2597353</c:v>
                </c:pt>
                <c:pt idx="11">
                  <c:v>2855777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1-45FA-8EF1-C90D74F82E3C}"/>
            </c:ext>
          </c:extLst>
        </c:ser>
        <c:ser>
          <c:idx val="2"/>
          <c:order val="2"/>
          <c:tx>
            <c:strRef>
              <c:f>'LUV-sales-countries-Cumul-World'!$B$44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'LUV-sales-countries-Cumul-World'!$C$44:$N$44</c:f>
              <c:numCache>
                <c:formatCode>_-* #,##0\ _F_-;\-* #,##0\ _F_-;_-* "-"??\ _F_-;_-@_-</c:formatCode>
                <c:ptCount val="12"/>
                <c:pt idx="0">
                  <c:v>184861</c:v>
                </c:pt>
                <c:pt idx="1">
                  <c:v>383645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1-45FA-8EF1-C90D74F82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47648"/>
        <c:axId val="367161728"/>
      </c:lineChart>
      <c:catAx>
        <c:axId val="3671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161728"/>
        <c:crosses val="autoZero"/>
        <c:auto val="1"/>
        <c:lblAlgn val="ctr"/>
        <c:lblOffset val="100"/>
        <c:noMultiLvlLbl val="0"/>
      </c:catAx>
      <c:valAx>
        <c:axId val="36716172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14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86210377548964"/>
          <c:y val="0.38034009046741502"/>
          <c:w val="0.12634576229259706"/>
          <c:h val="0.1935892332969229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'LUV-sales-countries-Cumul-World'!$B$21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'LUV-sales-countries-Cumul-World'!$C$21:$N$21</c:f>
              <c:numCache>
                <c:formatCode>_-* #,##0\ _F_-;\-* #,##0\ _F_-;_-* "-"??\ _F_-;_-@_-</c:formatCode>
                <c:ptCount val="12"/>
                <c:pt idx="0">
                  <c:v>344240</c:v>
                </c:pt>
                <c:pt idx="1">
                  <c:v>594097</c:v>
                </c:pt>
                <c:pt idx="2">
                  <c:v>963649</c:v>
                </c:pt>
                <c:pt idx="3">
                  <c:v>1179432</c:v>
                </c:pt>
                <c:pt idx="4">
                  <c:v>1418528</c:v>
                </c:pt>
                <c:pt idx="5">
                  <c:v>1699217</c:v>
                </c:pt>
                <c:pt idx="6">
                  <c:v>1944950</c:v>
                </c:pt>
                <c:pt idx="7">
                  <c:v>2203044</c:v>
                </c:pt>
                <c:pt idx="8">
                  <c:v>2481600</c:v>
                </c:pt>
                <c:pt idx="9">
                  <c:v>2755086</c:v>
                </c:pt>
                <c:pt idx="10">
                  <c:v>3007991</c:v>
                </c:pt>
                <c:pt idx="11">
                  <c:v>3300458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B-485A-BB99-7869C8F85CB3}"/>
            </c:ext>
          </c:extLst>
        </c:ser>
        <c:ser>
          <c:idx val="1"/>
          <c:order val="1"/>
          <c:tx>
            <c:strRef>
              <c:f>'LUV-sales-countries-Cumul-World'!$B$22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'LUV-sales-countries-Cumul-World'!$C$22:$N$22</c:f>
              <c:numCache>
                <c:formatCode>_-* #,##0\ _F_-;\-* #,##0\ _F_-;_-* "-"??\ _F_-;_-@_-</c:formatCode>
                <c:ptCount val="12"/>
                <c:pt idx="0">
                  <c:v>180369</c:v>
                </c:pt>
                <c:pt idx="1">
                  <c:v>503878</c:v>
                </c:pt>
                <c:pt idx="2">
                  <c:v>937966</c:v>
                </c:pt>
                <c:pt idx="3">
                  <c:v>1285591</c:v>
                </c:pt>
                <c:pt idx="4">
                  <c:v>1616082</c:v>
                </c:pt>
                <c:pt idx="5">
                  <c:v>1970587</c:v>
                </c:pt>
                <c:pt idx="6">
                  <c:v>2257670</c:v>
                </c:pt>
                <c:pt idx="7">
                  <c:v>2567288</c:v>
                </c:pt>
                <c:pt idx="8">
                  <c:v>2938428</c:v>
                </c:pt>
                <c:pt idx="9">
                  <c:v>3302945</c:v>
                </c:pt>
                <c:pt idx="10">
                  <c:v>3668697</c:v>
                </c:pt>
                <c:pt idx="11">
                  <c:v>4030874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A-47B0-A8B8-BE4B80FA6D0B}"/>
            </c:ext>
          </c:extLst>
        </c:ser>
        <c:ser>
          <c:idx val="2"/>
          <c:order val="2"/>
          <c:tx>
            <c:strRef>
              <c:f>'LUV-sales-countries-Cumul-World'!$B$23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'LUV-sales-countries-Cumul-World'!$C$23:$N$23</c:f>
              <c:numCache>
                <c:formatCode>_-* #,##0\ _F_-;\-* #,##0\ _F_-;_-* "-"??\ _F_-;_-@_-</c:formatCode>
                <c:ptCount val="12"/>
                <c:pt idx="0">
                  <c:v>174754</c:v>
                </c:pt>
                <c:pt idx="1">
                  <c:v>320101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A-47B0-A8B8-BE4B80FA6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04992"/>
        <c:axId val="367214976"/>
      </c:lineChart>
      <c:catAx>
        <c:axId val="3672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214976"/>
        <c:crosses val="autoZero"/>
        <c:auto val="1"/>
        <c:lblAlgn val="ctr"/>
        <c:lblOffset val="100"/>
        <c:noMultiLvlLbl val="0"/>
      </c:catAx>
      <c:valAx>
        <c:axId val="367214976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20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7699640993156"/>
          <c:y val="0.38034009046741502"/>
          <c:w val="0.12131147540983607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'LUV-sales-countries-Cumul-World'!$B$30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'LUV-sales-countries-Cumul-World'!$C$30:$N$30</c:f>
              <c:numCache>
                <c:formatCode>_-* #,##0\ _F_-;\-* #,##0\ _F_-;_-* "-"??\ _F_-;_-@_-</c:formatCode>
                <c:ptCount val="12"/>
                <c:pt idx="0">
                  <c:v>57254</c:v>
                </c:pt>
                <c:pt idx="1">
                  <c:v>122074</c:v>
                </c:pt>
                <c:pt idx="2">
                  <c:v>208543</c:v>
                </c:pt>
                <c:pt idx="3">
                  <c:v>263871</c:v>
                </c:pt>
                <c:pt idx="4">
                  <c:v>313448</c:v>
                </c:pt>
                <c:pt idx="5">
                  <c:v>373267</c:v>
                </c:pt>
                <c:pt idx="6">
                  <c:v>434457</c:v>
                </c:pt>
                <c:pt idx="7">
                  <c:v>490356</c:v>
                </c:pt>
                <c:pt idx="8">
                  <c:v>560618</c:v>
                </c:pt>
                <c:pt idx="9">
                  <c:v>623968</c:v>
                </c:pt>
                <c:pt idx="10">
                  <c:v>692988</c:v>
                </c:pt>
                <c:pt idx="11">
                  <c:v>753023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9-4E83-8912-592A09C2114B}"/>
            </c:ext>
          </c:extLst>
        </c:ser>
        <c:ser>
          <c:idx val="1"/>
          <c:order val="1"/>
          <c:tx>
            <c:strRef>
              <c:f>'LUV-sales-countries-Cumul-World'!$B$31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'LUV-sales-countries-Cumul-World'!$C$31:$N$31</c:f>
              <c:numCache>
                <c:formatCode>_-* #,##0\ _F_-;\-* #,##0\ _F_-;_-* "-"??\ _F_-;_-@_-</c:formatCode>
                <c:ptCount val="12"/>
                <c:pt idx="0">
                  <c:v>62468</c:v>
                </c:pt>
                <c:pt idx="1">
                  <c:v>132913</c:v>
                </c:pt>
                <c:pt idx="2">
                  <c:v>227464</c:v>
                </c:pt>
                <c:pt idx="3">
                  <c:v>287531</c:v>
                </c:pt>
                <c:pt idx="4">
                  <c:v>342219</c:v>
                </c:pt>
                <c:pt idx="5">
                  <c:v>402905</c:v>
                </c:pt>
                <c:pt idx="6">
                  <c:v>460961</c:v>
                </c:pt>
                <c:pt idx="7">
                  <c:v>520766</c:v>
                </c:pt>
                <c:pt idx="8">
                  <c:v>594860</c:v>
                </c:pt>
                <c:pt idx="9">
                  <c:v>658047</c:v>
                </c:pt>
                <c:pt idx="10">
                  <c:v>725091</c:v>
                </c:pt>
                <c:pt idx="11">
                  <c:v>786359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4-4BC3-88E9-E33700F74485}"/>
            </c:ext>
          </c:extLst>
        </c:ser>
        <c:ser>
          <c:idx val="2"/>
          <c:order val="2"/>
          <c:tx>
            <c:strRef>
              <c:f>'LUV-sales-countries-Cumul-World'!$B$32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'LUV-sales-countries-Cumul-World'!$C$32:$N$32</c:f>
              <c:numCache>
                <c:formatCode>_-* #,##0\ _F_-;\-* #,##0\ _F_-;_-* "-"??\ _F_-;_-@_-</c:formatCode>
                <c:ptCount val="12"/>
                <c:pt idx="0">
                  <c:v>49124</c:v>
                </c:pt>
                <c:pt idx="1">
                  <c:v>94946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4-4BC3-88E9-E33700F7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31968"/>
        <c:axId val="367341952"/>
      </c:lineChart>
      <c:catAx>
        <c:axId val="3673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341952"/>
        <c:crosses val="autoZero"/>
        <c:auto val="1"/>
        <c:lblAlgn val="ctr"/>
        <c:lblOffset val="100"/>
        <c:noMultiLvlLbl val="0"/>
      </c:catAx>
      <c:valAx>
        <c:axId val="367341952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33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324916282017"/>
          <c:y val="0.38236539876959824"/>
          <c:w val="0.12753735162994173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'LUV-sales-countries-Cumul-World'!$B$33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'LUV-sales-countries-Cumul-World'!$C$33:$N$33</c:f>
              <c:numCache>
                <c:formatCode>_-* #,##0\ _F_-;\-* #,##0\ _F_-;_-* "-"??\ _F_-;_-@_-</c:formatCode>
                <c:ptCount val="12"/>
                <c:pt idx="0">
                  <c:v>18754</c:v>
                </c:pt>
                <c:pt idx="1">
                  <c:v>40636</c:v>
                </c:pt>
                <c:pt idx="2">
                  <c:v>58134</c:v>
                </c:pt>
                <c:pt idx="3">
                  <c:v>80403</c:v>
                </c:pt>
                <c:pt idx="4">
                  <c:v>103130</c:v>
                </c:pt>
                <c:pt idx="5">
                  <c:v>123301</c:v>
                </c:pt>
                <c:pt idx="6">
                  <c:v>147786</c:v>
                </c:pt>
                <c:pt idx="7">
                  <c:v>169462</c:v>
                </c:pt>
                <c:pt idx="8">
                  <c:v>191840</c:v>
                </c:pt>
                <c:pt idx="9">
                  <c:v>216375</c:v>
                </c:pt>
                <c:pt idx="10">
                  <c:v>237775</c:v>
                </c:pt>
                <c:pt idx="11">
                  <c:v>259125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0-498D-851F-173FE0F6CEF1}"/>
            </c:ext>
          </c:extLst>
        </c:ser>
        <c:ser>
          <c:idx val="1"/>
          <c:order val="1"/>
          <c:tx>
            <c:strRef>
              <c:f>'LUV-sales-countries-Cumul-World'!$B$34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'LUV-sales-countries-Cumul-World'!$C$34:$N$34</c:f>
              <c:numCache>
                <c:formatCode>_-* #,##0\ _F_-;\-* #,##0\ _F_-;_-* "-"??\ _F_-;_-@_-</c:formatCode>
                <c:ptCount val="12"/>
                <c:pt idx="0">
                  <c:v>15429</c:v>
                </c:pt>
                <c:pt idx="1">
                  <c:v>42227</c:v>
                </c:pt>
                <c:pt idx="2">
                  <c:v>68312</c:v>
                </c:pt>
                <c:pt idx="3">
                  <c:v>90319</c:v>
                </c:pt>
                <c:pt idx="4">
                  <c:v>111944</c:v>
                </c:pt>
                <c:pt idx="5">
                  <c:v>133228</c:v>
                </c:pt>
                <c:pt idx="6">
                  <c:v>155324</c:v>
                </c:pt>
                <c:pt idx="7">
                  <c:v>172572</c:v>
                </c:pt>
                <c:pt idx="8">
                  <c:v>190075</c:v>
                </c:pt>
                <c:pt idx="9">
                  <c:v>211711</c:v>
                </c:pt>
                <c:pt idx="10">
                  <c:v>234639</c:v>
                </c:pt>
                <c:pt idx="11">
                  <c:v>252270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C-46AF-A815-A3738E642D61}"/>
            </c:ext>
          </c:extLst>
        </c:ser>
        <c:ser>
          <c:idx val="2"/>
          <c:order val="2"/>
          <c:tx>
            <c:strRef>
              <c:f>'LUV-sales-countries-Cumul-World'!$B$35</c:f>
              <c:strCache>
                <c:ptCount val="1"/>
                <c:pt idx="0">
                  <c:v>2024</c:v>
                </c:pt>
              </c:strCache>
            </c:strRef>
          </c:tx>
          <c:cat>
            <c:strRef>
              <c:f>'LUV-sales-countries-Cumul-World'!$C$8:$N$8</c:f>
              <c:strCache>
                <c:ptCount val="12"/>
                <c:pt idx="0">
                  <c:v> JANUARY</c:v>
                </c:pt>
                <c:pt idx="1">
                  <c:v> FEBRUARY</c:v>
                </c:pt>
                <c:pt idx="2">
                  <c:v> MARCH</c:v>
                </c:pt>
                <c:pt idx="3">
                  <c:v> APRIL</c:v>
                </c:pt>
                <c:pt idx="4">
                  <c:v> MAY</c:v>
                </c:pt>
                <c:pt idx="5">
                  <c:v> JUNE</c:v>
                </c:pt>
                <c:pt idx="6">
                  <c:v> JULY</c:v>
                </c:pt>
                <c:pt idx="7">
                  <c:v> AUGUST</c:v>
                </c:pt>
                <c:pt idx="8">
                  <c:v> SEPTEMBER</c:v>
                </c:pt>
                <c:pt idx="9">
                  <c:v> OCTOBER</c:v>
                </c:pt>
                <c:pt idx="10">
                  <c:v> NOVEMBER</c:v>
                </c:pt>
                <c:pt idx="11">
                  <c:v> DECEMBER</c:v>
                </c:pt>
              </c:strCache>
            </c:strRef>
          </c:cat>
          <c:val>
            <c:numRef>
              <c:f>'LUV-sales-countries-Cumul-World'!$C$35:$N$35</c:f>
              <c:numCache>
                <c:formatCode>_-* #,##0\ _F_-;\-* #,##0\ _F_-;_-* "-"??\ _F_-;_-@_-</c:formatCode>
                <c:ptCount val="12"/>
                <c:pt idx="0">
                  <c:v>14768</c:v>
                </c:pt>
                <c:pt idx="1">
                  <c:v>30431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C-46AF-A815-A3738E642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85216"/>
        <c:axId val="367387008"/>
      </c:lineChart>
      <c:catAx>
        <c:axId val="367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387008"/>
        <c:crosses val="autoZero"/>
        <c:auto val="1"/>
        <c:lblAlgn val="ctr"/>
        <c:lblOffset val="100"/>
        <c:noMultiLvlLbl val="0"/>
      </c:catAx>
      <c:valAx>
        <c:axId val="367387008"/>
        <c:scaling>
          <c:orientation val="minMax"/>
        </c:scaling>
        <c:delete val="0"/>
        <c:axPos val="l"/>
        <c:majorGridlines/>
        <c:numFmt formatCode="_-* #,##0\ _F_-;\-* #,##0\ _F_-;_-* &quot;-&quot;??\ _F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738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22398243660767"/>
          <c:y val="0.38034009046741502"/>
          <c:w val="0.12596937756544094"/>
          <c:h val="0.1934607827736710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image" Target="../media/image1.jpe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26" Type="http://schemas.openxmlformats.org/officeDocument/2006/relationships/chart" Target="../charts/chart62.xml"/><Relationship Id="rId21" Type="http://schemas.openxmlformats.org/officeDocument/2006/relationships/chart" Target="../charts/chart57.xml"/><Relationship Id="rId34" Type="http://schemas.openxmlformats.org/officeDocument/2006/relationships/chart" Target="../charts/chart70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5" Type="http://schemas.openxmlformats.org/officeDocument/2006/relationships/chart" Target="../charts/chart61.xml"/><Relationship Id="rId33" Type="http://schemas.openxmlformats.org/officeDocument/2006/relationships/chart" Target="../charts/chart69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29" Type="http://schemas.openxmlformats.org/officeDocument/2006/relationships/chart" Target="../charts/chart65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32" Type="http://schemas.openxmlformats.org/officeDocument/2006/relationships/chart" Target="../charts/chart68.xml"/><Relationship Id="rId37" Type="http://schemas.openxmlformats.org/officeDocument/2006/relationships/image" Target="../media/image5.jpeg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28" Type="http://schemas.openxmlformats.org/officeDocument/2006/relationships/chart" Target="../charts/chart64.xml"/><Relationship Id="rId36" Type="http://schemas.openxmlformats.org/officeDocument/2006/relationships/chart" Target="../charts/chart72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31" Type="http://schemas.openxmlformats.org/officeDocument/2006/relationships/chart" Target="../charts/chart67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Relationship Id="rId27" Type="http://schemas.openxmlformats.org/officeDocument/2006/relationships/chart" Target="../charts/chart63.xml"/><Relationship Id="rId30" Type="http://schemas.openxmlformats.org/officeDocument/2006/relationships/chart" Target="../charts/chart66.xml"/><Relationship Id="rId35" Type="http://schemas.openxmlformats.org/officeDocument/2006/relationships/chart" Target="../charts/chart71.xml"/><Relationship Id="rId8" Type="http://schemas.openxmlformats.org/officeDocument/2006/relationships/chart" Target="../charts/chart44.xml"/><Relationship Id="rId3" Type="http://schemas.openxmlformats.org/officeDocument/2006/relationships/chart" Target="../charts/chart3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chart" Target="../charts/chart85.xml"/><Relationship Id="rId18" Type="http://schemas.openxmlformats.org/officeDocument/2006/relationships/chart" Target="../charts/chart89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17" Type="http://schemas.openxmlformats.org/officeDocument/2006/relationships/image" Target="../media/image6.jpeg"/><Relationship Id="rId2" Type="http://schemas.openxmlformats.org/officeDocument/2006/relationships/chart" Target="../charts/chart74.xml"/><Relationship Id="rId16" Type="http://schemas.openxmlformats.org/officeDocument/2006/relationships/chart" Target="../charts/chart88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5" Type="http://schemas.openxmlformats.org/officeDocument/2006/relationships/chart" Target="../charts/chart8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13" Type="http://schemas.openxmlformats.org/officeDocument/2006/relationships/chart" Target="../charts/chart102.xml"/><Relationship Id="rId18" Type="http://schemas.openxmlformats.org/officeDocument/2006/relationships/chart" Target="../charts/chart106.xml"/><Relationship Id="rId3" Type="http://schemas.openxmlformats.org/officeDocument/2006/relationships/chart" Target="../charts/chart92.xml"/><Relationship Id="rId7" Type="http://schemas.openxmlformats.org/officeDocument/2006/relationships/chart" Target="../charts/chart96.xml"/><Relationship Id="rId12" Type="http://schemas.openxmlformats.org/officeDocument/2006/relationships/chart" Target="../charts/chart101.xml"/><Relationship Id="rId17" Type="http://schemas.openxmlformats.org/officeDocument/2006/relationships/image" Target="../media/image8.jpeg"/><Relationship Id="rId2" Type="http://schemas.openxmlformats.org/officeDocument/2006/relationships/chart" Target="../charts/chart91.xml"/><Relationship Id="rId16" Type="http://schemas.openxmlformats.org/officeDocument/2006/relationships/chart" Target="../charts/chart105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11" Type="http://schemas.openxmlformats.org/officeDocument/2006/relationships/chart" Target="../charts/chart100.xml"/><Relationship Id="rId5" Type="http://schemas.openxmlformats.org/officeDocument/2006/relationships/chart" Target="../charts/chart94.xml"/><Relationship Id="rId15" Type="http://schemas.openxmlformats.org/officeDocument/2006/relationships/chart" Target="../charts/chart104.xml"/><Relationship Id="rId10" Type="http://schemas.openxmlformats.org/officeDocument/2006/relationships/chart" Target="../charts/chart99.xml"/><Relationship Id="rId4" Type="http://schemas.openxmlformats.org/officeDocument/2006/relationships/chart" Target="../charts/chart93.xml"/><Relationship Id="rId9" Type="http://schemas.openxmlformats.org/officeDocument/2006/relationships/chart" Target="../charts/chart98.xml"/><Relationship Id="rId14" Type="http://schemas.openxmlformats.org/officeDocument/2006/relationships/chart" Target="../charts/chart103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1082040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0.74887</cdr:x>
      <cdr:y>0.89632</cdr:y>
    </cdr:from>
    <cdr:to>
      <cdr:x>0.98593</cdr:x>
      <cdr:y>0.98166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6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0.7494</cdr:x>
      <cdr:y>0.89265</cdr:y>
    </cdr:from>
    <cdr:to>
      <cdr:x>0.9889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10467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0.74964</cdr:x>
      <cdr:y>0.89561</cdr:y>
    </cdr:from>
    <cdr:to>
      <cdr:x>0.98619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0.76071</cdr:x>
      <cdr:y>0.89192</cdr:y>
    </cdr:from>
    <cdr:to>
      <cdr:x>0.98853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2717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0.75018</cdr:x>
      <cdr:y>0.89192</cdr:y>
    </cdr:from>
    <cdr:to>
      <cdr:x>0.98916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0.89265</cdr:y>
    </cdr:from>
    <cdr:to>
      <cdr:x>0.9883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0.76598</cdr:x>
      <cdr:y>0.88897</cdr:y>
    </cdr:from>
    <cdr:to>
      <cdr:x>0.99333</cdr:x>
      <cdr:y>0.9743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64467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0.74779</cdr:x>
      <cdr:y>0.89561</cdr:y>
    </cdr:from>
    <cdr:to>
      <cdr:x>0.98677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1046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0.74728</cdr:x>
      <cdr:y>0.88823</cdr:y>
    </cdr:from>
    <cdr:to>
      <cdr:x>0.98383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6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0.75362</cdr:x>
      <cdr:y>0.89561</cdr:y>
    </cdr:from>
    <cdr:to>
      <cdr:x>0.99067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3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0.75334</cdr:x>
      <cdr:y>0.89561</cdr:y>
    </cdr:from>
    <cdr:to>
      <cdr:x>0.99181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0.76736</cdr:x>
      <cdr:y>0.89192</cdr:y>
    </cdr:from>
    <cdr:to>
      <cdr:x>0.99648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0.75599</cdr:x>
      <cdr:y>0.89265</cdr:y>
    </cdr:from>
    <cdr:to>
      <cdr:x>0.99304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7396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0.74935</cdr:x>
      <cdr:y>0.89561</cdr:y>
    </cdr:from>
    <cdr:to>
      <cdr:x>0.9873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31633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0.75362</cdr:x>
      <cdr:y>0.89561</cdr:y>
    </cdr:from>
    <cdr:to>
      <cdr:x>0.99067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3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0.76771</cdr:x>
      <cdr:y>0.88823</cdr:y>
    </cdr:from>
    <cdr:to>
      <cdr:x>0.99694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0.76295</cdr:x>
      <cdr:y>0.88823</cdr:y>
    </cdr:from>
    <cdr:to>
      <cdr:x>1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05027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0.76143</cdr:x>
      <cdr:y>0.89192</cdr:y>
    </cdr:from>
    <cdr:to>
      <cdr:x>0.98878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0.75201</cdr:x>
      <cdr:y>0.89265</cdr:y>
    </cdr:from>
    <cdr:to>
      <cdr:x>0.98856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3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105833</xdr:rowOff>
    </xdr:from>
    <xdr:to>
      <xdr:col>1</xdr:col>
      <xdr:colOff>281940</xdr:colOff>
      <xdr:row>3</xdr:row>
      <xdr:rowOff>18203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5833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0.89192</cdr:y>
    </cdr:from>
    <cdr:to>
      <cdr:x>0.9883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0.76299</cdr:x>
      <cdr:y>0.89561</cdr:y>
    </cdr:from>
    <cdr:to>
      <cdr:x>0.9908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0.7465</cdr:x>
      <cdr:y>0.89192</cdr:y>
    </cdr:from>
    <cdr:to>
      <cdr:x>0.98355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31633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0.75362</cdr:x>
      <cdr:y>0.8993</cdr:y>
    </cdr:from>
    <cdr:to>
      <cdr:x>0.99067</cdr:x>
      <cdr:y>0.98491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3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0.76527</cdr:x>
      <cdr:y>0.89561</cdr:y>
    </cdr:from>
    <cdr:to>
      <cdr:x>0.99308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53884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0.75048</cdr:x>
      <cdr:y>0.89192</cdr:y>
    </cdr:from>
    <cdr:to>
      <cdr:x>0.98803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6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0.75208</cdr:x>
      <cdr:y>0.89489</cdr:y>
    </cdr:from>
    <cdr:to>
      <cdr:x>0.99015</cdr:x>
      <cdr:y>0.98079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7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0.76299</cdr:x>
      <cdr:y>0.89561</cdr:y>
    </cdr:from>
    <cdr:to>
      <cdr:x>0.9908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0.8993</cdr:y>
    </cdr:from>
    <cdr:to>
      <cdr:x>0.9883</cdr:x>
      <cdr:y>0.98491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0.75674</cdr:x>
      <cdr:y>0.89561</cdr:y>
    </cdr:from>
    <cdr:to>
      <cdr:x>0.99329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84550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363855</xdr:colOff>
      <xdr:row>2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0.76441</cdr:x>
      <cdr:y>0.8993</cdr:y>
    </cdr:from>
    <cdr:to>
      <cdr:x>0.9913</cdr:x>
      <cdr:y>0.98491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64467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0.88529</cdr:y>
    </cdr:from>
    <cdr:to>
      <cdr:x>0.9883</cdr:x>
      <cdr:y>0.97063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0.75362</cdr:x>
      <cdr:y>0.89561</cdr:y>
    </cdr:from>
    <cdr:to>
      <cdr:x>0.99067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4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0.76527</cdr:x>
      <cdr:y>0.88086</cdr:y>
    </cdr:from>
    <cdr:to>
      <cdr:x>0.99308</cdr:x>
      <cdr:y>0.96647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53883" y="252730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0.75048</cdr:x>
      <cdr:y>0.89561</cdr:y>
    </cdr:from>
    <cdr:to>
      <cdr:x>0.98804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0.74857</cdr:x>
      <cdr:y>0.9</cdr:y>
    </cdr:from>
    <cdr:to>
      <cdr:x>0.98704</cdr:x>
      <cdr:y>0.98533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9080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0.89192</cdr:y>
    </cdr:from>
    <cdr:to>
      <cdr:x>0.9883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0.74461</cdr:x>
      <cdr:y>0.8993</cdr:y>
    </cdr:from>
    <cdr:to>
      <cdr:x>0.9841</cdr:x>
      <cdr:y>0.98491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89300" y="258021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0.75819</cdr:x>
      <cdr:y>0.88379</cdr:y>
    </cdr:from>
    <cdr:to>
      <cdr:x>0.98731</cdr:x>
      <cdr:y>0.96969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00967" y="252730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0.75257</cdr:x>
      <cdr:y>0.89119</cdr:y>
    </cdr:from>
    <cdr:to>
      <cdr:x>0.99155</cdr:x>
      <cdr:y>0.97709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31633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6</xdr:row>
      <xdr:rowOff>0</xdr:rowOff>
    </xdr:from>
    <xdr:to>
      <xdr:col>8</xdr:col>
      <xdr:colOff>7620</xdr:colOff>
      <xdr:row>22</xdr:row>
      <xdr:rowOff>121920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</xdr:colOff>
      <xdr:row>26</xdr:row>
      <xdr:rowOff>121920</xdr:rowOff>
    </xdr:from>
    <xdr:to>
      <xdr:col>16</xdr:col>
      <xdr:colOff>350520</xdr:colOff>
      <xdr:row>43</xdr:row>
      <xdr:rowOff>114300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373380</xdr:colOff>
      <xdr:row>47</xdr:row>
      <xdr:rowOff>68580</xdr:rowOff>
    </xdr:from>
    <xdr:to>
      <xdr:col>8</xdr:col>
      <xdr:colOff>45720</xdr:colOff>
      <xdr:row>64</xdr:row>
      <xdr:rowOff>68580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59268</xdr:colOff>
      <xdr:row>47</xdr:row>
      <xdr:rowOff>68580</xdr:rowOff>
    </xdr:from>
    <xdr:to>
      <xdr:col>16</xdr:col>
      <xdr:colOff>426721</xdr:colOff>
      <xdr:row>64</xdr:row>
      <xdr:rowOff>68580</xdr:rowOff>
    </xdr:to>
    <xdr:graphicFrame macro="">
      <xdr:nvGraphicFramePr>
        <xdr:cNvPr id="5" name="Chart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358140</xdr:colOff>
      <xdr:row>68</xdr:row>
      <xdr:rowOff>68580</xdr:rowOff>
    </xdr:from>
    <xdr:to>
      <xdr:col>8</xdr:col>
      <xdr:colOff>38100</xdr:colOff>
      <xdr:row>85</xdr:row>
      <xdr:rowOff>60960</xdr:rowOff>
    </xdr:to>
    <xdr:graphicFrame macro="">
      <xdr:nvGraphicFramePr>
        <xdr:cNvPr id="6" name="Chart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106680</xdr:colOff>
      <xdr:row>68</xdr:row>
      <xdr:rowOff>60960</xdr:rowOff>
    </xdr:from>
    <xdr:to>
      <xdr:col>16</xdr:col>
      <xdr:colOff>419100</xdr:colOff>
      <xdr:row>85</xdr:row>
      <xdr:rowOff>53340</xdr:rowOff>
    </xdr:to>
    <xdr:graphicFrame macro="">
      <xdr:nvGraphicFramePr>
        <xdr:cNvPr id="7" name="Chart 1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571500</xdr:colOff>
      <xdr:row>68</xdr:row>
      <xdr:rowOff>76200</xdr:rowOff>
    </xdr:from>
    <xdr:to>
      <xdr:col>25</xdr:col>
      <xdr:colOff>266700</xdr:colOff>
      <xdr:row>85</xdr:row>
      <xdr:rowOff>68580</xdr:rowOff>
    </xdr:to>
    <xdr:graphicFrame macro="">
      <xdr:nvGraphicFramePr>
        <xdr:cNvPr id="8" name="Chart 1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312420</xdr:colOff>
      <xdr:row>89</xdr:row>
      <xdr:rowOff>83820</xdr:rowOff>
    </xdr:from>
    <xdr:to>
      <xdr:col>8</xdr:col>
      <xdr:colOff>0</xdr:colOff>
      <xdr:row>106</xdr:row>
      <xdr:rowOff>76200</xdr:rowOff>
    </xdr:to>
    <xdr:graphicFrame macro="">
      <xdr:nvGraphicFramePr>
        <xdr:cNvPr id="9" name="Chart 1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38100</xdr:colOff>
      <xdr:row>89</xdr:row>
      <xdr:rowOff>99060</xdr:rowOff>
    </xdr:from>
    <xdr:to>
      <xdr:col>16</xdr:col>
      <xdr:colOff>350520</xdr:colOff>
      <xdr:row>106</xdr:row>
      <xdr:rowOff>91440</xdr:rowOff>
    </xdr:to>
    <xdr:graphicFrame macro="">
      <xdr:nvGraphicFramePr>
        <xdr:cNvPr id="10" name="Chart 1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601980</xdr:colOff>
      <xdr:row>89</xdr:row>
      <xdr:rowOff>76200</xdr:rowOff>
    </xdr:from>
    <xdr:to>
      <xdr:col>25</xdr:col>
      <xdr:colOff>297180</xdr:colOff>
      <xdr:row>106</xdr:row>
      <xdr:rowOff>68580</xdr:rowOff>
    </xdr:to>
    <xdr:graphicFrame macro="">
      <xdr:nvGraphicFramePr>
        <xdr:cNvPr id="11" name="Chart 1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7620</xdr:colOff>
      <xdr:row>111</xdr:row>
      <xdr:rowOff>45720</xdr:rowOff>
    </xdr:from>
    <xdr:to>
      <xdr:col>16</xdr:col>
      <xdr:colOff>320040</xdr:colOff>
      <xdr:row>128</xdr:row>
      <xdr:rowOff>38100</xdr:rowOff>
    </xdr:to>
    <xdr:graphicFrame macro="">
      <xdr:nvGraphicFramePr>
        <xdr:cNvPr id="12" name="Chart 1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312420</xdr:colOff>
      <xdr:row>111</xdr:row>
      <xdr:rowOff>7620</xdr:rowOff>
    </xdr:from>
    <xdr:to>
      <xdr:col>7</xdr:col>
      <xdr:colOff>617220</xdr:colOff>
      <xdr:row>128</xdr:row>
      <xdr:rowOff>0</xdr:rowOff>
    </xdr:to>
    <xdr:graphicFrame macro="">
      <xdr:nvGraphicFramePr>
        <xdr:cNvPr id="13" name="Chart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0</xdr:colOff>
      <xdr:row>111</xdr:row>
      <xdr:rowOff>45720</xdr:rowOff>
    </xdr:from>
    <xdr:to>
      <xdr:col>25</xdr:col>
      <xdr:colOff>312420</xdr:colOff>
      <xdr:row>128</xdr:row>
      <xdr:rowOff>38100</xdr:rowOff>
    </xdr:to>
    <xdr:graphicFrame macro="">
      <xdr:nvGraphicFramePr>
        <xdr:cNvPr id="14" name="Chart 1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266700</xdr:colOff>
      <xdr:row>133</xdr:row>
      <xdr:rowOff>45720</xdr:rowOff>
    </xdr:from>
    <xdr:to>
      <xdr:col>7</xdr:col>
      <xdr:colOff>579120</xdr:colOff>
      <xdr:row>150</xdr:row>
      <xdr:rowOff>38100</xdr:rowOff>
    </xdr:to>
    <xdr:graphicFrame macro="">
      <xdr:nvGraphicFramePr>
        <xdr:cNvPr id="15" name="Chart 2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7620</xdr:colOff>
      <xdr:row>133</xdr:row>
      <xdr:rowOff>60960</xdr:rowOff>
    </xdr:from>
    <xdr:to>
      <xdr:col>16</xdr:col>
      <xdr:colOff>335280</xdr:colOff>
      <xdr:row>150</xdr:row>
      <xdr:rowOff>60960</xdr:rowOff>
    </xdr:to>
    <xdr:graphicFrame macro="">
      <xdr:nvGraphicFramePr>
        <xdr:cNvPr id="16" name="Chart 2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7620</xdr:colOff>
      <xdr:row>133</xdr:row>
      <xdr:rowOff>53340</xdr:rowOff>
    </xdr:from>
    <xdr:to>
      <xdr:col>25</xdr:col>
      <xdr:colOff>320040</xdr:colOff>
      <xdr:row>150</xdr:row>
      <xdr:rowOff>45720</xdr:rowOff>
    </xdr:to>
    <xdr:graphicFrame macro="">
      <xdr:nvGraphicFramePr>
        <xdr:cNvPr id="17" name="Chart 2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236220</xdr:colOff>
      <xdr:row>154</xdr:row>
      <xdr:rowOff>114300</xdr:rowOff>
    </xdr:from>
    <xdr:to>
      <xdr:col>7</xdr:col>
      <xdr:colOff>541020</xdr:colOff>
      <xdr:row>171</xdr:row>
      <xdr:rowOff>106680</xdr:rowOff>
    </xdr:to>
    <xdr:graphicFrame macro="">
      <xdr:nvGraphicFramePr>
        <xdr:cNvPr id="18" name="Chart 2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7620</xdr:colOff>
      <xdr:row>154</xdr:row>
      <xdr:rowOff>121920</xdr:rowOff>
    </xdr:from>
    <xdr:to>
      <xdr:col>16</xdr:col>
      <xdr:colOff>320040</xdr:colOff>
      <xdr:row>171</xdr:row>
      <xdr:rowOff>114300</xdr:rowOff>
    </xdr:to>
    <xdr:graphicFrame macro="">
      <xdr:nvGraphicFramePr>
        <xdr:cNvPr id="19" name="Chart 2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7620</xdr:colOff>
      <xdr:row>154</xdr:row>
      <xdr:rowOff>121920</xdr:rowOff>
    </xdr:from>
    <xdr:to>
      <xdr:col>25</xdr:col>
      <xdr:colOff>320040</xdr:colOff>
      <xdr:row>171</xdr:row>
      <xdr:rowOff>114300</xdr:rowOff>
    </xdr:to>
    <xdr:graphicFrame macro="">
      <xdr:nvGraphicFramePr>
        <xdr:cNvPr id="20" name="Chart 25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182880</xdr:colOff>
      <xdr:row>176</xdr:row>
      <xdr:rowOff>53340</xdr:rowOff>
    </xdr:from>
    <xdr:to>
      <xdr:col>7</xdr:col>
      <xdr:colOff>487680</xdr:colOff>
      <xdr:row>193</xdr:row>
      <xdr:rowOff>45720</xdr:rowOff>
    </xdr:to>
    <xdr:graphicFrame macro="">
      <xdr:nvGraphicFramePr>
        <xdr:cNvPr id="21" name="Chart 2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7620</xdr:colOff>
      <xdr:row>176</xdr:row>
      <xdr:rowOff>53340</xdr:rowOff>
    </xdr:from>
    <xdr:to>
      <xdr:col>16</xdr:col>
      <xdr:colOff>312420</xdr:colOff>
      <xdr:row>193</xdr:row>
      <xdr:rowOff>45720</xdr:rowOff>
    </xdr:to>
    <xdr:graphicFrame macro="">
      <xdr:nvGraphicFramePr>
        <xdr:cNvPr id="22" name="Chart 2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68580</xdr:colOff>
      <xdr:row>176</xdr:row>
      <xdr:rowOff>53340</xdr:rowOff>
    </xdr:from>
    <xdr:to>
      <xdr:col>25</xdr:col>
      <xdr:colOff>358140</xdr:colOff>
      <xdr:row>193</xdr:row>
      <xdr:rowOff>38100</xdr:rowOff>
    </xdr:to>
    <xdr:graphicFrame macro="">
      <xdr:nvGraphicFramePr>
        <xdr:cNvPr id="23" name="Chart 2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167640</xdr:colOff>
      <xdr:row>196</xdr:row>
      <xdr:rowOff>60960</xdr:rowOff>
    </xdr:from>
    <xdr:to>
      <xdr:col>7</xdr:col>
      <xdr:colOff>472440</xdr:colOff>
      <xdr:row>213</xdr:row>
      <xdr:rowOff>45720</xdr:rowOff>
    </xdr:to>
    <xdr:graphicFrame macro="">
      <xdr:nvGraphicFramePr>
        <xdr:cNvPr id="24" name="Chart 2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22860</xdr:colOff>
      <xdr:row>196</xdr:row>
      <xdr:rowOff>68580</xdr:rowOff>
    </xdr:from>
    <xdr:to>
      <xdr:col>16</xdr:col>
      <xdr:colOff>335280</xdr:colOff>
      <xdr:row>213</xdr:row>
      <xdr:rowOff>60960</xdr:rowOff>
    </xdr:to>
    <xdr:graphicFrame macro="">
      <xdr:nvGraphicFramePr>
        <xdr:cNvPr id="25" name="Chart 3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18</xdr:col>
      <xdr:colOff>22860</xdr:colOff>
      <xdr:row>196</xdr:row>
      <xdr:rowOff>60960</xdr:rowOff>
    </xdr:from>
    <xdr:to>
      <xdr:col>25</xdr:col>
      <xdr:colOff>342900</xdr:colOff>
      <xdr:row>213</xdr:row>
      <xdr:rowOff>45720</xdr:rowOff>
    </xdr:to>
    <xdr:graphicFrame macro="">
      <xdr:nvGraphicFramePr>
        <xdr:cNvPr id="26" name="Chart 3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144780</xdr:colOff>
      <xdr:row>216</xdr:row>
      <xdr:rowOff>99060</xdr:rowOff>
    </xdr:from>
    <xdr:to>
      <xdr:col>7</xdr:col>
      <xdr:colOff>464820</xdr:colOff>
      <xdr:row>233</xdr:row>
      <xdr:rowOff>83820</xdr:rowOff>
    </xdr:to>
    <xdr:graphicFrame macro="">
      <xdr:nvGraphicFramePr>
        <xdr:cNvPr id="27" name="Chart 3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30480</xdr:colOff>
      <xdr:row>216</xdr:row>
      <xdr:rowOff>99060</xdr:rowOff>
    </xdr:from>
    <xdr:to>
      <xdr:col>16</xdr:col>
      <xdr:colOff>342900</xdr:colOff>
      <xdr:row>233</xdr:row>
      <xdr:rowOff>91440</xdr:rowOff>
    </xdr:to>
    <xdr:graphicFrame macro="">
      <xdr:nvGraphicFramePr>
        <xdr:cNvPr id="28" name="Chart 3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18</xdr:col>
      <xdr:colOff>30480</xdr:colOff>
      <xdr:row>216</xdr:row>
      <xdr:rowOff>99060</xdr:rowOff>
    </xdr:from>
    <xdr:to>
      <xdr:col>25</xdr:col>
      <xdr:colOff>342900</xdr:colOff>
      <xdr:row>233</xdr:row>
      <xdr:rowOff>83820</xdr:rowOff>
    </xdr:to>
    <xdr:graphicFrame macro="">
      <xdr:nvGraphicFramePr>
        <xdr:cNvPr id="29" name="Chart 3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167640</xdr:colOff>
      <xdr:row>237</xdr:row>
      <xdr:rowOff>76200</xdr:rowOff>
    </xdr:from>
    <xdr:to>
      <xdr:col>7</xdr:col>
      <xdr:colOff>472440</xdr:colOff>
      <xdr:row>254</xdr:row>
      <xdr:rowOff>68580</xdr:rowOff>
    </xdr:to>
    <xdr:graphicFrame macro="">
      <xdr:nvGraphicFramePr>
        <xdr:cNvPr id="30" name="Chart 35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7620</xdr:colOff>
      <xdr:row>237</xdr:row>
      <xdr:rowOff>60960</xdr:rowOff>
    </xdr:from>
    <xdr:to>
      <xdr:col>16</xdr:col>
      <xdr:colOff>312420</xdr:colOff>
      <xdr:row>254</xdr:row>
      <xdr:rowOff>45720</xdr:rowOff>
    </xdr:to>
    <xdr:graphicFrame macro="">
      <xdr:nvGraphicFramePr>
        <xdr:cNvPr id="31" name="Chart 3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17</xdr:col>
      <xdr:colOff>571500</xdr:colOff>
      <xdr:row>47</xdr:row>
      <xdr:rowOff>68580</xdr:rowOff>
    </xdr:from>
    <xdr:to>
      <xdr:col>25</xdr:col>
      <xdr:colOff>266700</xdr:colOff>
      <xdr:row>64</xdr:row>
      <xdr:rowOff>68580</xdr:rowOff>
    </xdr:to>
    <xdr:graphicFrame macro="">
      <xdr:nvGraphicFramePr>
        <xdr:cNvPr id="32" name="Chart 37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76200</xdr:colOff>
      <xdr:row>6</xdr:row>
      <xdr:rowOff>15240</xdr:rowOff>
    </xdr:from>
    <xdr:to>
      <xdr:col>16</xdr:col>
      <xdr:colOff>388620</xdr:colOff>
      <xdr:row>23</xdr:row>
      <xdr:rowOff>7620</xdr:rowOff>
    </xdr:to>
    <xdr:graphicFrame macro="">
      <xdr:nvGraphicFramePr>
        <xdr:cNvPr id="33" name="Chart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17</xdr:col>
      <xdr:colOff>487680</xdr:colOff>
      <xdr:row>6</xdr:row>
      <xdr:rowOff>15240</xdr:rowOff>
    </xdr:from>
    <xdr:to>
      <xdr:col>25</xdr:col>
      <xdr:colOff>160020</xdr:colOff>
      <xdr:row>23</xdr:row>
      <xdr:rowOff>7620</xdr:rowOff>
    </xdr:to>
    <xdr:graphicFrame macro="">
      <xdr:nvGraphicFramePr>
        <xdr:cNvPr id="34" name="Chart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350520</xdr:colOff>
      <xdr:row>26</xdr:row>
      <xdr:rowOff>121920</xdr:rowOff>
    </xdr:from>
    <xdr:to>
      <xdr:col>8</xdr:col>
      <xdr:colOff>38100</xdr:colOff>
      <xdr:row>43</xdr:row>
      <xdr:rowOff>106680</xdr:rowOff>
    </xdr:to>
    <xdr:graphicFrame macro="">
      <xdr:nvGraphicFramePr>
        <xdr:cNvPr id="35" name="Chart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17</xdr:col>
      <xdr:colOff>548640</xdr:colOff>
      <xdr:row>26</xdr:row>
      <xdr:rowOff>114300</xdr:rowOff>
    </xdr:from>
    <xdr:to>
      <xdr:col>25</xdr:col>
      <xdr:colOff>236220</xdr:colOff>
      <xdr:row>43</xdr:row>
      <xdr:rowOff>99060</xdr:rowOff>
    </xdr:to>
    <xdr:graphicFrame macro="">
      <xdr:nvGraphicFramePr>
        <xdr:cNvPr id="36" name="Chart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oneCellAnchor>
    <xdr:from>
      <xdr:col>12</xdr:col>
      <xdr:colOff>210140</xdr:colOff>
      <xdr:row>64</xdr:row>
      <xdr:rowOff>91440</xdr:rowOff>
    </xdr:from>
    <xdr:ext cx="738279" cy="311496"/>
    <xdr:sp macro="" textlink="">
      <xdr:nvSpPr>
        <xdr:cNvPr id="37" name="TextBox 3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7532960" y="10820400"/>
          <a:ext cx="73827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Canada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304540</xdr:colOff>
      <xdr:row>64</xdr:row>
      <xdr:rowOff>91440</xdr:rowOff>
    </xdr:from>
    <xdr:ext cx="796115" cy="311496"/>
    <xdr:sp macro="" textlink="">
      <xdr:nvSpPr>
        <xdr:cNvPr id="38" name="TextBox 3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278120" y="10820400"/>
          <a:ext cx="7961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Bulgaria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132305</xdr:colOff>
      <xdr:row>23</xdr:row>
      <xdr:rowOff>18415</xdr:rowOff>
    </xdr:from>
    <xdr:ext cx="852990" cy="311496"/>
    <xdr:sp macro="" textlink="">
      <xdr:nvSpPr>
        <xdr:cNvPr id="39" name="TextBox 4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7455125" y="3874135"/>
          <a:ext cx="85299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Australia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208497</xdr:colOff>
      <xdr:row>23</xdr:row>
      <xdr:rowOff>0</xdr:rowOff>
    </xdr:from>
    <xdr:ext cx="920573" cy="311496"/>
    <xdr:sp macro="" textlink="">
      <xdr:nvSpPr>
        <xdr:cNvPr id="40" name="TextBox 4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182077" y="3855720"/>
          <a:ext cx="9205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Argentina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591429</xdr:colOff>
      <xdr:row>43</xdr:row>
      <xdr:rowOff>98107</xdr:rowOff>
    </xdr:from>
    <xdr:ext cx="599588" cy="311496"/>
    <xdr:sp macro="" textlink="">
      <xdr:nvSpPr>
        <xdr:cNvPr id="41" name="TextBox 45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565009" y="7306627"/>
          <a:ext cx="59958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Baltic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306</xdr:colOff>
      <xdr:row>23</xdr:row>
      <xdr:rowOff>15716</xdr:rowOff>
    </xdr:from>
    <xdr:ext cx="720262" cy="311496"/>
    <xdr:sp macro="" textlink="">
      <xdr:nvSpPr>
        <xdr:cNvPr id="42" name="TextBox 46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2672366" y="3871436"/>
          <a:ext cx="72026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Austria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79154</xdr:colOff>
      <xdr:row>43</xdr:row>
      <xdr:rowOff>129540</xdr:rowOff>
    </xdr:from>
    <xdr:ext cx="597343" cy="311496"/>
    <xdr:sp macro="" textlink="">
      <xdr:nvSpPr>
        <xdr:cNvPr id="43" name="TextBox 4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2751214" y="7338060"/>
          <a:ext cx="59734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Brazil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96766</xdr:colOff>
      <xdr:row>43</xdr:row>
      <xdr:rowOff>129540</xdr:rowOff>
    </xdr:from>
    <xdr:ext cx="598754" cy="311496"/>
    <xdr:sp macro="" textlink="">
      <xdr:nvSpPr>
        <xdr:cNvPr id="44" name="TextBox 5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7419586" y="7338060"/>
          <a:ext cx="5987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Belux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11</xdr:col>
      <xdr:colOff>95516</xdr:colOff>
      <xdr:row>85</xdr:row>
      <xdr:rowOff>57150</xdr:rowOff>
    </xdr:from>
    <xdr:ext cx="2157835" cy="311496"/>
    <xdr:sp macro="" textlink="">
      <xdr:nvSpPr>
        <xdr:cNvPr id="45" name="TextBox 5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6823976" y="14306550"/>
          <a:ext cx="21578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Denmark/Finland/Norway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55259</xdr:colOff>
      <xdr:row>85</xdr:row>
      <xdr:rowOff>57150</xdr:rowOff>
    </xdr:from>
    <xdr:ext cx="1297535" cy="311496"/>
    <xdr:sp macro="" textlink="">
      <xdr:nvSpPr>
        <xdr:cNvPr id="46" name="TextBox 5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028839" y="14306550"/>
          <a:ext cx="12975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Czech Republic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362255</xdr:colOff>
      <xdr:row>106</xdr:row>
      <xdr:rowOff>76201</xdr:rowOff>
    </xdr:from>
    <xdr:ext cx="869341" cy="311496"/>
    <xdr:sp macro="" textlink="">
      <xdr:nvSpPr>
        <xdr:cNvPr id="47" name="TextBox 5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335835" y="17846041"/>
          <a:ext cx="86934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Germany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303317</xdr:colOff>
      <xdr:row>85</xdr:row>
      <xdr:rowOff>76201</xdr:rowOff>
    </xdr:from>
    <xdr:ext cx="681405" cy="311496"/>
    <xdr:sp macro="" textlink="">
      <xdr:nvSpPr>
        <xdr:cNvPr id="48" name="TextBox 5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2381017" y="14325601"/>
          <a:ext cx="68140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France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157581</xdr:colOff>
      <xdr:row>106</xdr:row>
      <xdr:rowOff>129541</xdr:rowOff>
    </xdr:from>
    <xdr:ext cx="813236" cy="311496"/>
    <xdr:sp macro="" textlink="">
      <xdr:nvSpPr>
        <xdr:cNvPr id="49" name="TextBox 5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2798314" y="18078874"/>
          <a:ext cx="81323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Hungary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18892</xdr:colOff>
      <xdr:row>106</xdr:row>
      <xdr:rowOff>98109</xdr:rowOff>
    </xdr:from>
    <xdr:ext cx="709233" cy="311496"/>
    <xdr:sp macro="" textlink="">
      <xdr:nvSpPr>
        <xdr:cNvPr id="50" name="TextBox 5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7341712" y="17867949"/>
          <a:ext cx="70923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Greece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132696</xdr:colOff>
      <xdr:row>129</xdr:row>
      <xdr:rowOff>20002</xdr:rowOff>
    </xdr:from>
    <xdr:ext cx="712183" cy="311496"/>
    <xdr:sp macro="" textlink="">
      <xdr:nvSpPr>
        <xdr:cNvPr id="51" name="TextBox 5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7455516" y="21645562"/>
          <a:ext cx="7121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Ireland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477427</xdr:colOff>
      <xdr:row>129</xdr:row>
      <xdr:rowOff>20002</xdr:rowOff>
    </xdr:from>
    <xdr:ext cx="557973" cy="311496"/>
    <xdr:sp macro="" textlink="">
      <xdr:nvSpPr>
        <xdr:cNvPr id="52" name="TextBox 5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2451007" y="21645562"/>
          <a:ext cx="5579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India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438452</xdr:colOff>
      <xdr:row>150</xdr:row>
      <xdr:rowOff>15240</xdr:rowOff>
    </xdr:from>
    <xdr:ext cx="614079" cy="311496"/>
    <xdr:sp macro="" textlink="">
      <xdr:nvSpPr>
        <xdr:cNvPr id="53" name="TextBox 5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2412032" y="25161240"/>
          <a:ext cx="61407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Japan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312199</xdr:colOff>
      <xdr:row>128</xdr:row>
      <xdr:rowOff>85408</xdr:rowOff>
    </xdr:from>
    <xdr:ext cx="512513" cy="311496"/>
    <xdr:sp macro="" textlink="">
      <xdr:nvSpPr>
        <xdr:cNvPr id="54" name="TextBox 6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2952932" y="21760075"/>
          <a:ext cx="51251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Italy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309133</xdr:colOff>
      <xdr:row>150</xdr:row>
      <xdr:rowOff>57151</xdr:rowOff>
    </xdr:from>
    <xdr:ext cx="730265" cy="311496"/>
    <xdr:sp macro="" textlink="">
      <xdr:nvSpPr>
        <xdr:cNvPr id="55" name="TextBox 6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2949866" y="25457151"/>
          <a:ext cx="7302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Mexico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59572</xdr:colOff>
      <xdr:row>150</xdr:row>
      <xdr:rowOff>92393</xdr:rowOff>
    </xdr:from>
    <xdr:ext cx="1099083" cy="311496"/>
    <xdr:sp macro="" textlink="">
      <xdr:nvSpPr>
        <xdr:cNvPr id="56" name="TextBox 6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7382392" y="25238393"/>
          <a:ext cx="10990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South Korea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96268</xdr:colOff>
      <xdr:row>171</xdr:row>
      <xdr:rowOff>129541</xdr:rowOff>
    </xdr:from>
    <xdr:ext cx="702180" cy="311496"/>
    <xdr:sp macro="" textlink="">
      <xdr:nvSpPr>
        <xdr:cNvPr id="57" name="TextBox 6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7419088" y="28795981"/>
          <a:ext cx="70218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Poland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20004</xdr:colOff>
      <xdr:row>171</xdr:row>
      <xdr:rowOff>129541</xdr:rowOff>
    </xdr:from>
    <xdr:ext cx="1103251" cy="311496"/>
    <xdr:sp macro="" textlink="">
      <xdr:nvSpPr>
        <xdr:cNvPr id="58" name="TextBox 6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993584" y="28795981"/>
          <a:ext cx="110325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Netherlands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208190</xdr:colOff>
      <xdr:row>193</xdr:row>
      <xdr:rowOff>60008</xdr:rowOff>
    </xdr:from>
    <xdr:ext cx="846001" cy="311496"/>
    <xdr:sp macro="" textlink="">
      <xdr:nvSpPr>
        <xdr:cNvPr id="59" name="TextBox 65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2181770" y="32414528"/>
          <a:ext cx="84600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Romania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285992</xdr:colOff>
      <xdr:row>171</xdr:row>
      <xdr:rowOff>115253</xdr:rowOff>
    </xdr:from>
    <xdr:ext cx="817019" cy="311496"/>
    <xdr:sp macro="" textlink="">
      <xdr:nvSpPr>
        <xdr:cNvPr id="60" name="TextBox 66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2363692" y="28781693"/>
          <a:ext cx="81701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Portugal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363244</xdr:colOff>
      <xdr:row>193</xdr:row>
      <xdr:rowOff>60008</xdr:rowOff>
    </xdr:from>
    <xdr:ext cx="802592" cy="311496"/>
    <xdr:sp macro="" textlink="">
      <xdr:nvSpPr>
        <xdr:cNvPr id="61" name="TextBox 67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2440944" y="32414528"/>
          <a:ext cx="80259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Slovakia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449</xdr:colOff>
      <xdr:row>193</xdr:row>
      <xdr:rowOff>60008</xdr:rowOff>
    </xdr:from>
    <xdr:ext cx="658065" cy="311496"/>
    <xdr:sp macro="" textlink="">
      <xdr:nvSpPr>
        <xdr:cNvPr id="62" name="TextBox 68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7323269" y="32414528"/>
          <a:ext cx="6580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Russia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56528</xdr:colOff>
      <xdr:row>213</xdr:row>
      <xdr:rowOff>58103</xdr:rowOff>
    </xdr:from>
    <xdr:ext cx="594971" cy="311496"/>
    <xdr:sp macro="" textlink="">
      <xdr:nvSpPr>
        <xdr:cNvPr id="63" name="TextBox 69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7379348" y="35765423"/>
          <a:ext cx="59497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Spain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92900</xdr:colOff>
      <xdr:row>213</xdr:row>
      <xdr:rowOff>58103</xdr:rowOff>
    </xdr:from>
    <xdr:ext cx="814582" cy="311496"/>
    <xdr:sp macro="" textlink="">
      <xdr:nvSpPr>
        <xdr:cNvPr id="64" name="TextBox 70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2066480" y="35765423"/>
          <a:ext cx="81458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Slovenia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55451</xdr:colOff>
      <xdr:row>233</xdr:row>
      <xdr:rowOff>129540</xdr:rowOff>
    </xdr:from>
    <xdr:ext cx="1060675" cy="311496"/>
    <xdr:sp macro="" textlink="">
      <xdr:nvSpPr>
        <xdr:cNvPr id="65" name="TextBox 7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2029031" y="39189660"/>
          <a:ext cx="106067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Switzerland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287043</xdr:colOff>
      <xdr:row>213</xdr:row>
      <xdr:rowOff>76200</xdr:rowOff>
    </xdr:from>
    <xdr:ext cx="776816" cy="311496"/>
    <xdr:sp macro="" textlink="">
      <xdr:nvSpPr>
        <xdr:cNvPr id="66" name="TextBox 7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2364743" y="35783520"/>
          <a:ext cx="77681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Sweden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17006</xdr:colOff>
      <xdr:row>233</xdr:row>
      <xdr:rowOff>94298</xdr:rowOff>
    </xdr:from>
    <xdr:ext cx="1394741" cy="311496"/>
    <xdr:sp macro="" textlink="">
      <xdr:nvSpPr>
        <xdr:cNvPr id="67" name="TextBox 7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2094706" y="39154418"/>
          <a:ext cx="139474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United</a:t>
          </a:r>
          <a:r>
            <a:rPr lang="en-US" sz="1400" b="1" baseline="0">
              <a:solidFill>
                <a:srgbClr val="00B050"/>
              </a:solidFill>
            </a:rPr>
            <a:t> Kingdom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872</xdr:colOff>
      <xdr:row>233</xdr:row>
      <xdr:rowOff>129540</xdr:rowOff>
    </xdr:from>
    <xdr:ext cx="695319" cy="311496"/>
    <xdr:sp macro="" textlink="">
      <xdr:nvSpPr>
        <xdr:cNvPr id="68" name="TextBox 74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7323692" y="39189660"/>
          <a:ext cx="69531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Turkey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77678</xdr:colOff>
      <xdr:row>254</xdr:row>
      <xdr:rowOff>57151</xdr:rowOff>
    </xdr:from>
    <xdr:ext cx="495520" cy="311496"/>
    <xdr:sp macro="" textlink="">
      <xdr:nvSpPr>
        <xdr:cNvPr id="69" name="TextBox 75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7400498" y="42637711"/>
          <a:ext cx="49552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USA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131654</xdr:colOff>
      <xdr:row>254</xdr:row>
      <xdr:rowOff>56198</xdr:rowOff>
    </xdr:from>
    <xdr:ext cx="771365" cy="311496"/>
    <xdr:sp macro="" textlink="">
      <xdr:nvSpPr>
        <xdr:cNvPr id="70" name="TextBox 7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2105234" y="42636758"/>
          <a:ext cx="7713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Ukraine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438621</xdr:colOff>
      <xdr:row>64</xdr:row>
      <xdr:rowOff>73343</xdr:rowOff>
    </xdr:from>
    <xdr:ext cx="605166" cy="311496"/>
    <xdr:sp macro="" textlink="">
      <xdr:nvSpPr>
        <xdr:cNvPr id="71" name="TextBox 77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2516321" y="10802303"/>
          <a:ext cx="6051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China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twoCellAnchor editAs="oneCell">
    <xdr:from>
      <xdr:col>0</xdr:col>
      <xdr:colOff>7620</xdr:colOff>
      <xdr:row>0</xdr:row>
      <xdr:rowOff>114300</xdr:rowOff>
    </xdr:from>
    <xdr:to>
      <xdr:col>3</xdr:col>
      <xdr:colOff>331470</xdr:colOff>
      <xdr:row>3</xdr:row>
      <xdr:rowOff>15240</xdr:rowOff>
    </xdr:to>
    <xdr:pic>
      <xdr:nvPicPr>
        <xdr:cNvPr id="107" name="Picture 2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14300"/>
          <a:ext cx="2286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60960</xdr:colOff>
      <xdr:row>237</xdr:row>
      <xdr:rowOff>45720</xdr:rowOff>
    </xdr:from>
    <xdr:to>
      <xdr:col>25</xdr:col>
      <xdr:colOff>358140</xdr:colOff>
      <xdr:row>254</xdr:row>
      <xdr:rowOff>30480</xdr:rowOff>
    </xdr:to>
    <xdr:graphicFrame macro="">
      <xdr:nvGraphicFramePr>
        <xdr:cNvPr id="108" name="Chart 36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oneCellAnchor>
    <xdr:from>
      <xdr:col>21</xdr:col>
      <xdr:colOff>243840</xdr:colOff>
      <xdr:row>254</xdr:row>
      <xdr:rowOff>16193</xdr:rowOff>
    </xdr:from>
    <xdr:ext cx="938270" cy="311496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2915900" y="42596753"/>
          <a:ext cx="93827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Europe</a:t>
          </a:r>
          <a:r>
            <a:rPr lang="en-US" sz="1400" b="1" baseline="0">
              <a:solidFill>
                <a:srgbClr val="00B050"/>
              </a:solidFill>
            </a:rPr>
            <a:t> 29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0.75285</cdr:x>
      <cdr:y>0.89859</cdr:y>
    </cdr:from>
    <cdr:to>
      <cdr:x>0.99041</cdr:x>
      <cdr:y>0.98449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19050</xdr:colOff>
      <xdr:row>2</xdr:row>
      <xdr:rowOff>129540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6</xdr:row>
      <xdr:rowOff>0</xdr:rowOff>
    </xdr:from>
    <xdr:to>
      <xdr:col>8</xdr:col>
      <xdr:colOff>7620</xdr:colOff>
      <xdr:row>23</xdr:row>
      <xdr:rowOff>7620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</xdr:colOff>
      <xdr:row>6</xdr:row>
      <xdr:rowOff>7620</xdr:rowOff>
    </xdr:from>
    <xdr:to>
      <xdr:col>16</xdr:col>
      <xdr:colOff>358140</xdr:colOff>
      <xdr:row>23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426720</xdr:colOff>
      <xdr:row>6</xdr:row>
      <xdr:rowOff>7620</xdr:rowOff>
    </xdr:from>
    <xdr:to>
      <xdr:col>25</xdr:col>
      <xdr:colOff>106680</xdr:colOff>
      <xdr:row>22</xdr:row>
      <xdr:rowOff>137160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274320</xdr:colOff>
      <xdr:row>26</xdr:row>
      <xdr:rowOff>60960</xdr:rowOff>
    </xdr:from>
    <xdr:to>
      <xdr:col>8</xdr:col>
      <xdr:colOff>30480</xdr:colOff>
      <xdr:row>43</xdr:row>
      <xdr:rowOff>53340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60960</xdr:colOff>
      <xdr:row>26</xdr:row>
      <xdr:rowOff>53340</xdr:rowOff>
    </xdr:from>
    <xdr:to>
      <xdr:col>16</xdr:col>
      <xdr:colOff>373380</xdr:colOff>
      <xdr:row>43</xdr:row>
      <xdr:rowOff>45720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396240</xdr:colOff>
      <xdr:row>26</xdr:row>
      <xdr:rowOff>45720</xdr:rowOff>
    </xdr:from>
    <xdr:to>
      <xdr:col>25</xdr:col>
      <xdr:colOff>83820</xdr:colOff>
      <xdr:row>43</xdr:row>
      <xdr:rowOff>53340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266700</xdr:colOff>
      <xdr:row>48</xdr:row>
      <xdr:rowOff>0</xdr:rowOff>
    </xdr:from>
    <xdr:to>
      <xdr:col>8</xdr:col>
      <xdr:colOff>7620</xdr:colOff>
      <xdr:row>65</xdr:row>
      <xdr:rowOff>7620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38100</xdr:colOff>
      <xdr:row>48</xdr:row>
      <xdr:rowOff>30480</xdr:rowOff>
    </xdr:from>
    <xdr:to>
      <xdr:col>16</xdr:col>
      <xdr:colOff>358140</xdr:colOff>
      <xdr:row>65</xdr:row>
      <xdr:rowOff>22860</xdr:rowOff>
    </xdr:to>
    <xdr:graphicFrame macro="">
      <xdr:nvGraphicFramePr>
        <xdr:cNvPr id="9" name="Chart 1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266700</xdr:colOff>
      <xdr:row>69</xdr:row>
      <xdr:rowOff>30480</xdr:rowOff>
    </xdr:from>
    <xdr:to>
      <xdr:col>8</xdr:col>
      <xdr:colOff>7620</xdr:colOff>
      <xdr:row>86</xdr:row>
      <xdr:rowOff>22860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45720</xdr:colOff>
      <xdr:row>69</xdr:row>
      <xdr:rowOff>22860</xdr:rowOff>
    </xdr:from>
    <xdr:to>
      <xdr:col>16</xdr:col>
      <xdr:colOff>358140</xdr:colOff>
      <xdr:row>86</xdr:row>
      <xdr:rowOff>15240</xdr:rowOff>
    </xdr:to>
    <xdr:graphicFrame macro="">
      <xdr:nvGraphicFramePr>
        <xdr:cNvPr id="11" name="Chart 1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312420</xdr:colOff>
      <xdr:row>69</xdr:row>
      <xdr:rowOff>15240</xdr:rowOff>
    </xdr:from>
    <xdr:to>
      <xdr:col>24</xdr:col>
      <xdr:colOff>609600</xdr:colOff>
      <xdr:row>86</xdr:row>
      <xdr:rowOff>22860</xdr:rowOff>
    </xdr:to>
    <xdr:graphicFrame macro="">
      <xdr:nvGraphicFramePr>
        <xdr:cNvPr id="12" name="Chart 1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259080</xdr:colOff>
      <xdr:row>89</xdr:row>
      <xdr:rowOff>106680</xdr:rowOff>
    </xdr:from>
    <xdr:to>
      <xdr:col>8</xdr:col>
      <xdr:colOff>7620</xdr:colOff>
      <xdr:row>106</xdr:row>
      <xdr:rowOff>99060</xdr:rowOff>
    </xdr:to>
    <xdr:graphicFrame macro="">
      <xdr:nvGraphicFramePr>
        <xdr:cNvPr id="13" name="Chart 14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38100</xdr:colOff>
      <xdr:row>89</xdr:row>
      <xdr:rowOff>114300</xdr:rowOff>
    </xdr:from>
    <xdr:to>
      <xdr:col>16</xdr:col>
      <xdr:colOff>342900</xdr:colOff>
      <xdr:row>106</xdr:row>
      <xdr:rowOff>106680</xdr:rowOff>
    </xdr:to>
    <xdr:graphicFrame macro="">
      <xdr:nvGraphicFramePr>
        <xdr:cNvPr id="14" name="Chart 1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381000</xdr:colOff>
      <xdr:row>89</xdr:row>
      <xdr:rowOff>91440</xdr:rowOff>
    </xdr:from>
    <xdr:to>
      <xdr:col>25</xdr:col>
      <xdr:colOff>68580</xdr:colOff>
      <xdr:row>106</xdr:row>
      <xdr:rowOff>83820</xdr:rowOff>
    </xdr:to>
    <xdr:graphicFrame macro="">
      <xdr:nvGraphicFramePr>
        <xdr:cNvPr id="15" name="Chart 16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45720</xdr:colOff>
      <xdr:row>111</xdr:row>
      <xdr:rowOff>22860</xdr:rowOff>
    </xdr:from>
    <xdr:to>
      <xdr:col>16</xdr:col>
      <xdr:colOff>358140</xdr:colOff>
      <xdr:row>128</xdr:row>
      <xdr:rowOff>15240</xdr:rowOff>
    </xdr:to>
    <xdr:graphicFrame macro="">
      <xdr:nvGraphicFramePr>
        <xdr:cNvPr id="16" name="Chart 17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266700</xdr:colOff>
      <xdr:row>111</xdr:row>
      <xdr:rowOff>7620</xdr:rowOff>
    </xdr:from>
    <xdr:to>
      <xdr:col>8</xdr:col>
      <xdr:colOff>7620</xdr:colOff>
      <xdr:row>128</xdr:row>
      <xdr:rowOff>0</xdr:rowOff>
    </xdr:to>
    <xdr:graphicFrame macro="">
      <xdr:nvGraphicFramePr>
        <xdr:cNvPr id="17" name="Chart 1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411480</xdr:colOff>
      <xdr:row>111</xdr:row>
      <xdr:rowOff>30480</xdr:rowOff>
    </xdr:from>
    <xdr:to>
      <xdr:col>25</xdr:col>
      <xdr:colOff>121920</xdr:colOff>
      <xdr:row>128</xdr:row>
      <xdr:rowOff>22860</xdr:rowOff>
    </xdr:to>
    <xdr:graphicFrame macro="">
      <xdr:nvGraphicFramePr>
        <xdr:cNvPr id="18" name="Chart 19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274320</xdr:colOff>
      <xdr:row>131</xdr:row>
      <xdr:rowOff>121920</xdr:rowOff>
    </xdr:from>
    <xdr:to>
      <xdr:col>8</xdr:col>
      <xdr:colOff>38100</xdr:colOff>
      <xdr:row>148</xdr:row>
      <xdr:rowOff>114300</xdr:rowOff>
    </xdr:to>
    <xdr:graphicFrame macro="">
      <xdr:nvGraphicFramePr>
        <xdr:cNvPr id="19" name="Chart 20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60960</xdr:colOff>
      <xdr:row>131</xdr:row>
      <xdr:rowOff>114300</xdr:rowOff>
    </xdr:from>
    <xdr:to>
      <xdr:col>16</xdr:col>
      <xdr:colOff>381000</xdr:colOff>
      <xdr:row>148</xdr:row>
      <xdr:rowOff>106680</xdr:rowOff>
    </xdr:to>
    <xdr:graphicFrame macro="">
      <xdr:nvGraphicFramePr>
        <xdr:cNvPr id="20" name="Chart 2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419100</xdr:colOff>
      <xdr:row>131</xdr:row>
      <xdr:rowOff>121920</xdr:rowOff>
    </xdr:from>
    <xdr:to>
      <xdr:col>25</xdr:col>
      <xdr:colOff>99060</xdr:colOff>
      <xdr:row>148</xdr:row>
      <xdr:rowOff>114300</xdr:rowOff>
    </xdr:to>
    <xdr:graphicFrame macro="">
      <xdr:nvGraphicFramePr>
        <xdr:cNvPr id="21" name="Chart 2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266700</xdr:colOff>
      <xdr:row>154</xdr:row>
      <xdr:rowOff>0</xdr:rowOff>
    </xdr:from>
    <xdr:to>
      <xdr:col>8</xdr:col>
      <xdr:colOff>7620</xdr:colOff>
      <xdr:row>171</xdr:row>
      <xdr:rowOff>7620</xdr:rowOff>
    </xdr:to>
    <xdr:graphicFrame macro="">
      <xdr:nvGraphicFramePr>
        <xdr:cNvPr id="22" name="Chart 23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45720</xdr:colOff>
      <xdr:row>154</xdr:row>
      <xdr:rowOff>7620</xdr:rowOff>
    </xdr:from>
    <xdr:to>
      <xdr:col>16</xdr:col>
      <xdr:colOff>358140</xdr:colOff>
      <xdr:row>171</xdr:row>
      <xdr:rowOff>0</xdr:rowOff>
    </xdr:to>
    <xdr:graphicFrame macro="">
      <xdr:nvGraphicFramePr>
        <xdr:cNvPr id="23" name="Chart 24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17</xdr:col>
      <xdr:colOff>426720</xdr:colOff>
      <xdr:row>153</xdr:row>
      <xdr:rowOff>114300</xdr:rowOff>
    </xdr:from>
    <xdr:to>
      <xdr:col>25</xdr:col>
      <xdr:colOff>114300</xdr:colOff>
      <xdr:row>170</xdr:row>
      <xdr:rowOff>106680</xdr:rowOff>
    </xdr:to>
    <xdr:graphicFrame macro="">
      <xdr:nvGraphicFramePr>
        <xdr:cNvPr id="24" name="Chart 2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274320</xdr:colOff>
      <xdr:row>174</xdr:row>
      <xdr:rowOff>15240</xdr:rowOff>
    </xdr:from>
    <xdr:to>
      <xdr:col>8</xdr:col>
      <xdr:colOff>30480</xdr:colOff>
      <xdr:row>191</xdr:row>
      <xdr:rowOff>7620</xdr:rowOff>
    </xdr:to>
    <xdr:graphicFrame macro="">
      <xdr:nvGraphicFramePr>
        <xdr:cNvPr id="25" name="Chart 26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38100</xdr:colOff>
      <xdr:row>173</xdr:row>
      <xdr:rowOff>121920</xdr:rowOff>
    </xdr:from>
    <xdr:to>
      <xdr:col>16</xdr:col>
      <xdr:colOff>342900</xdr:colOff>
      <xdr:row>190</xdr:row>
      <xdr:rowOff>114300</xdr:rowOff>
    </xdr:to>
    <xdr:graphicFrame macro="">
      <xdr:nvGraphicFramePr>
        <xdr:cNvPr id="26" name="Chart 27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17</xdr:col>
      <xdr:colOff>381000</xdr:colOff>
      <xdr:row>173</xdr:row>
      <xdr:rowOff>91440</xdr:rowOff>
    </xdr:from>
    <xdr:to>
      <xdr:col>25</xdr:col>
      <xdr:colOff>68580</xdr:colOff>
      <xdr:row>190</xdr:row>
      <xdr:rowOff>99060</xdr:rowOff>
    </xdr:to>
    <xdr:graphicFrame macro="">
      <xdr:nvGraphicFramePr>
        <xdr:cNvPr id="27" name="Chart 28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266700</xdr:colOff>
      <xdr:row>196</xdr:row>
      <xdr:rowOff>0</xdr:rowOff>
    </xdr:from>
    <xdr:to>
      <xdr:col>8</xdr:col>
      <xdr:colOff>7620</xdr:colOff>
      <xdr:row>213</xdr:row>
      <xdr:rowOff>7620</xdr:rowOff>
    </xdr:to>
    <xdr:graphicFrame macro="">
      <xdr:nvGraphicFramePr>
        <xdr:cNvPr id="28" name="Chart 29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38100</xdr:colOff>
      <xdr:row>196</xdr:row>
      <xdr:rowOff>7620</xdr:rowOff>
    </xdr:from>
    <xdr:to>
      <xdr:col>16</xdr:col>
      <xdr:colOff>358140</xdr:colOff>
      <xdr:row>213</xdr:row>
      <xdr:rowOff>0</xdr:rowOff>
    </xdr:to>
    <xdr:graphicFrame macro="">
      <xdr:nvGraphicFramePr>
        <xdr:cNvPr id="29" name="Chart 30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17</xdr:col>
      <xdr:colOff>396240</xdr:colOff>
      <xdr:row>195</xdr:row>
      <xdr:rowOff>114300</xdr:rowOff>
    </xdr:from>
    <xdr:to>
      <xdr:col>25</xdr:col>
      <xdr:colOff>83820</xdr:colOff>
      <xdr:row>212</xdr:row>
      <xdr:rowOff>106680</xdr:rowOff>
    </xdr:to>
    <xdr:graphicFrame macro="">
      <xdr:nvGraphicFramePr>
        <xdr:cNvPr id="30" name="Chart 3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266700</xdr:colOff>
      <xdr:row>216</xdr:row>
      <xdr:rowOff>91440</xdr:rowOff>
    </xdr:from>
    <xdr:to>
      <xdr:col>8</xdr:col>
      <xdr:colOff>30480</xdr:colOff>
      <xdr:row>233</xdr:row>
      <xdr:rowOff>76200</xdr:rowOff>
    </xdr:to>
    <xdr:graphicFrame macro="">
      <xdr:nvGraphicFramePr>
        <xdr:cNvPr id="31" name="Chart 3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45720</xdr:colOff>
      <xdr:row>216</xdr:row>
      <xdr:rowOff>83820</xdr:rowOff>
    </xdr:from>
    <xdr:to>
      <xdr:col>16</xdr:col>
      <xdr:colOff>373380</xdr:colOff>
      <xdr:row>233</xdr:row>
      <xdr:rowOff>60960</xdr:rowOff>
    </xdr:to>
    <xdr:graphicFrame macro="">
      <xdr:nvGraphicFramePr>
        <xdr:cNvPr id="32" name="Chart 3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17</xdr:col>
      <xdr:colOff>411480</xdr:colOff>
      <xdr:row>216</xdr:row>
      <xdr:rowOff>83820</xdr:rowOff>
    </xdr:from>
    <xdr:to>
      <xdr:col>25</xdr:col>
      <xdr:colOff>83820</xdr:colOff>
      <xdr:row>233</xdr:row>
      <xdr:rowOff>91440</xdr:rowOff>
    </xdr:to>
    <xdr:graphicFrame macro="">
      <xdr:nvGraphicFramePr>
        <xdr:cNvPr id="33" name="Chart 34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266700</xdr:colOff>
      <xdr:row>238</xdr:row>
      <xdr:rowOff>0</xdr:rowOff>
    </xdr:from>
    <xdr:to>
      <xdr:col>8</xdr:col>
      <xdr:colOff>7620</xdr:colOff>
      <xdr:row>255</xdr:row>
      <xdr:rowOff>7620</xdr:rowOff>
    </xdr:to>
    <xdr:graphicFrame macro="">
      <xdr:nvGraphicFramePr>
        <xdr:cNvPr id="34" name="Chart 35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45720</xdr:colOff>
      <xdr:row>238</xdr:row>
      <xdr:rowOff>0</xdr:rowOff>
    </xdr:from>
    <xdr:to>
      <xdr:col>16</xdr:col>
      <xdr:colOff>358140</xdr:colOff>
      <xdr:row>255</xdr:row>
      <xdr:rowOff>7620</xdr:rowOff>
    </xdr:to>
    <xdr:graphicFrame macro="">
      <xdr:nvGraphicFramePr>
        <xdr:cNvPr id="35" name="Chart 36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17</xdr:col>
      <xdr:colOff>297180</xdr:colOff>
      <xdr:row>48</xdr:row>
      <xdr:rowOff>38100</xdr:rowOff>
    </xdr:from>
    <xdr:to>
      <xdr:col>24</xdr:col>
      <xdr:colOff>601980</xdr:colOff>
      <xdr:row>65</xdr:row>
      <xdr:rowOff>30480</xdr:rowOff>
    </xdr:to>
    <xdr:graphicFrame macro="">
      <xdr:nvGraphicFramePr>
        <xdr:cNvPr id="36" name="Chart 37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oneCellAnchor>
    <xdr:from>
      <xdr:col>12</xdr:col>
      <xdr:colOff>134085</xdr:colOff>
      <xdr:row>65</xdr:row>
      <xdr:rowOff>60007</xdr:rowOff>
    </xdr:from>
    <xdr:ext cx="738279" cy="311496"/>
    <xdr:sp macro="" textlink="">
      <xdr:nvSpPr>
        <xdr:cNvPr id="37" name="TextBox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7296885" y="10956607"/>
          <a:ext cx="73827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Canada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213245</xdr:colOff>
      <xdr:row>65</xdr:row>
      <xdr:rowOff>60007</xdr:rowOff>
    </xdr:from>
    <xdr:ext cx="796115" cy="311496"/>
    <xdr:sp macro="" textlink="">
      <xdr:nvSpPr>
        <xdr:cNvPr id="38" name="TextBox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2026805" y="10956607"/>
          <a:ext cx="79611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Bulgaria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59584</xdr:colOff>
      <xdr:row>23</xdr:row>
      <xdr:rowOff>60325</xdr:rowOff>
    </xdr:from>
    <xdr:ext cx="852990" cy="311496"/>
    <xdr:sp macro="" textlink="">
      <xdr:nvSpPr>
        <xdr:cNvPr id="39" name="TextBox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7222384" y="3916045"/>
          <a:ext cx="85299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Australia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171971</xdr:colOff>
      <xdr:row>23</xdr:row>
      <xdr:rowOff>57150</xdr:rowOff>
    </xdr:from>
    <xdr:ext cx="920573" cy="311496"/>
    <xdr:sp macro="" textlink="">
      <xdr:nvSpPr>
        <xdr:cNvPr id="40" name="TextBox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1985531" y="3912870"/>
          <a:ext cx="9205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Argentina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458700</xdr:colOff>
      <xdr:row>43</xdr:row>
      <xdr:rowOff>76200</xdr:rowOff>
    </xdr:from>
    <xdr:ext cx="599588" cy="311496"/>
    <xdr:sp macro="" textlink="">
      <xdr:nvSpPr>
        <xdr:cNvPr id="41" name="TextBox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2272260" y="7284720"/>
          <a:ext cx="59958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Baltic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361661</xdr:colOff>
      <xdr:row>23</xdr:row>
      <xdr:rowOff>17357</xdr:rowOff>
    </xdr:from>
    <xdr:ext cx="720262" cy="311496"/>
    <xdr:sp macro="" textlink="">
      <xdr:nvSpPr>
        <xdr:cNvPr id="42" name="TextBox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12279341" y="3873077"/>
          <a:ext cx="72026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Austria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2199</xdr:colOff>
      <xdr:row>43</xdr:row>
      <xdr:rowOff>94827</xdr:rowOff>
    </xdr:from>
    <xdr:ext cx="597343" cy="311496"/>
    <xdr:sp macro="" textlink="">
      <xdr:nvSpPr>
        <xdr:cNvPr id="43" name="TextBox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12514239" y="7303347"/>
          <a:ext cx="59734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Brazil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19970</xdr:colOff>
      <xdr:row>43</xdr:row>
      <xdr:rowOff>94827</xdr:rowOff>
    </xdr:from>
    <xdr:ext cx="598754" cy="311496"/>
    <xdr:sp macro="" textlink="">
      <xdr:nvSpPr>
        <xdr:cNvPr id="44" name="TextBox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7182770" y="7303347"/>
          <a:ext cx="5987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Belux</a:t>
          </a:r>
        </a:p>
      </xdr:txBody>
    </xdr:sp>
    <xdr:clientData/>
  </xdr:oneCellAnchor>
  <xdr:oneCellAnchor>
    <xdr:from>
      <xdr:col>11</xdr:col>
      <xdr:colOff>887</xdr:colOff>
      <xdr:row>86</xdr:row>
      <xdr:rowOff>57150</xdr:rowOff>
    </xdr:from>
    <xdr:ext cx="2157835" cy="311496"/>
    <xdr:sp macro="" textlink="">
      <xdr:nvSpPr>
        <xdr:cNvPr id="45" name="TextBox 4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6569327" y="14474190"/>
          <a:ext cx="21578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Denmark/Finland/Norway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16933</xdr:colOff>
      <xdr:row>86</xdr:row>
      <xdr:rowOff>57150</xdr:rowOff>
    </xdr:from>
    <xdr:ext cx="1297535" cy="311496"/>
    <xdr:sp macro="" textlink="">
      <xdr:nvSpPr>
        <xdr:cNvPr id="46" name="TextBox 4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1830493" y="14474190"/>
          <a:ext cx="12975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Czech Republic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324671</xdr:colOff>
      <xdr:row>107</xdr:row>
      <xdr:rowOff>17780</xdr:rowOff>
    </xdr:from>
    <xdr:ext cx="869341" cy="311496"/>
    <xdr:sp macro="" textlink="">
      <xdr:nvSpPr>
        <xdr:cNvPr id="47" name="TextBox 4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2138231" y="17955260"/>
          <a:ext cx="86934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Germany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249433</xdr:colOff>
      <xdr:row>86</xdr:row>
      <xdr:rowOff>59267</xdr:rowOff>
    </xdr:from>
    <xdr:ext cx="681405" cy="311496"/>
    <xdr:sp macro="" textlink="">
      <xdr:nvSpPr>
        <xdr:cNvPr id="48" name="TextBox 4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12167113" y="14476307"/>
          <a:ext cx="68140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France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439929</xdr:colOff>
      <xdr:row>107</xdr:row>
      <xdr:rowOff>18415</xdr:rowOff>
    </xdr:from>
    <xdr:ext cx="813236" cy="311496"/>
    <xdr:sp macro="" textlink="">
      <xdr:nvSpPr>
        <xdr:cNvPr id="49" name="TextBox 4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12357609" y="17955895"/>
          <a:ext cx="81323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Hungary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16867</xdr:colOff>
      <xdr:row>107</xdr:row>
      <xdr:rowOff>18415</xdr:rowOff>
    </xdr:from>
    <xdr:ext cx="709233" cy="311496"/>
    <xdr:sp macro="" textlink="">
      <xdr:nvSpPr>
        <xdr:cNvPr id="50" name="TextBox 5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7179667" y="17955895"/>
          <a:ext cx="70923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Greece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129988</xdr:colOff>
      <xdr:row>128</xdr:row>
      <xdr:rowOff>18415</xdr:rowOff>
    </xdr:from>
    <xdr:ext cx="712183" cy="311496"/>
    <xdr:sp macro="" textlink="">
      <xdr:nvSpPr>
        <xdr:cNvPr id="51" name="TextBox 5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7292788" y="21476335"/>
          <a:ext cx="7121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Ireland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358986</xdr:colOff>
      <xdr:row>128</xdr:row>
      <xdr:rowOff>17780</xdr:rowOff>
    </xdr:from>
    <xdr:ext cx="557973" cy="311496"/>
    <xdr:sp macro="" textlink="">
      <xdr:nvSpPr>
        <xdr:cNvPr id="52" name="TextBox 5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2172546" y="21475700"/>
          <a:ext cx="5579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India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4</xdr:col>
      <xdr:colOff>816</xdr:colOff>
      <xdr:row>148</xdr:row>
      <xdr:rowOff>95885</xdr:rowOff>
    </xdr:from>
    <xdr:ext cx="614079" cy="311496"/>
    <xdr:sp macro="" textlink="">
      <xdr:nvSpPr>
        <xdr:cNvPr id="53" name="TextBox 5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2408736" y="24906605"/>
          <a:ext cx="61407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Japan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436749</xdr:colOff>
      <xdr:row>128</xdr:row>
      <xdr:rowOff>59902</xdr:rowOff>
    </xdr:from>
    <xdr:ext cx="512513" cy="311496"/>
    <xdr:sp macro="" textlink="">
      <xdr:nvSpPr>
        <xdr:cNvPr id="54" name="TextBox 54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12354429" y="21517822"/>
          <a:ext cx="51251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Italy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21</xdr:col>
      <xdr:colOff>3472</xdr:colOff>
      <xdr:row>148</xdr:row>
      <xdr:rowOff>134197</xdr:rowOff>
    </xdr:from>
    <xdr:ext cx="730265" cy="311496"/>
    <xdr:sp macro="" textlink="">
      <xdr:nvSpPr>
        <xdr:cNvPr id="55" name="TextBox 5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12515512" y="24944917"/>
          <a:ext cx="7302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Mexico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55748</xdr:colOff>
      <xdr:row>148</xdr:row>
      <xdr:rowOff>134197</xdr:rowOff>
    </xdr:from>
    <xdr:ext cx="1099083" cy="311496"/>
    <xdr:sp macro="" textlink="">
      <xdr:nvSpPr>
        <xdr:cNvPr id="56" name="TextBox 5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7218548" y="24944917"/>
          <a:ext cx="10990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South Korea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131179</xdr:colOff>
      <xdr:row>171</xdr:row>
      <xdr:rowOff>18415</xdr:rowOff>
    </xdr:from>
    <xdr:ext cx="702180" cy="311496"/>
    <xdr:sp macro="" textlink="">
      <xdr:nvSpPr>
        <xdr:cNvPr id="57" name="TextBox 5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7293979" y="28684855"/>
          <a:ext cx="70218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Poland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95872</xdr:colOff>
      <xdr:row>171</xdr:row>
      <xdr:rowOff>18415</xdr:rowOff>
    </xdr:from>
    <xdr:ext cx="1103251" cy="311496"/>
    <xdr:sp macro="" textlink="">
      <xdr:nvSpPr>
        <xdr:cNvPr id="58" name="TextBox 5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1909432" y="28684855"/>
          <a:ext cx="110325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Netherlands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358354</xdr:colOff>
      <xdr:row>191</xdr:row>
      <xdr:rowOff>36619</xdr:rowOff>
    </xdr:from>
    <xdr:ext cx="846001" cy="311496"/>
    <xdr:sp macro="" textlink="">
      <xdr:nvSpPr>
        <xdr:cNvPr id="59" name="TextBox 5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2171914" y="32055859"/>
          <a:ext cx="84600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Romania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320056</xdr:colOff>
      <xdr:row>171</xdr:row>
      <xdr:rowOff>16298</xdr:rowOff>
    </xdr:from>
    <xdr:ext cx="817019" cy="311496"/>
    <xdr:sp macro="" textlink="">
      <xdr:nvSpPr>
        <xdr:cNvPr id="60" name="TextBox 6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12237736" y="28682738"/>
          <a:ext cx="81701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Portugal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422391</xdr:colOff>
      <xdr:row>191</xdr:row>
      <xdr:rowOff>17357</xdr:rowOff>
    </xdr:from>
    <xdr:ext cx="802592" cy="311496"/>
    <xdr:sp macro="" textlink="">
      <xdr:nvSpPr>
        <xdr:cNvPr id="61" name="TextBox 6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12340071" y="32036597"/>
          <a:ext cx="80259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Slovakia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2235</xdr:colOff>
      <xdr:row>191</xdr:row>
      <xdr:rowOff>17357</xdr:rowOff>
    </xdr:from>
    <xdr:ext cx="658065" cy="311496"/>
    <xdr:sp macro="" textlink="">
      <xdr:nvSpPr>
        <xdr:cNvPr id="62" name="TextBox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7165035" y="32036597"/>
          <a:ext cx="6580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Russia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171449</xdr:colOff>
      <xdr:row>213</xdr:row>
      <xdr:rowOff>17780</xdr:rowOff>
    </xdr:from>
    <xdr:ext cx="594971" cy="311496"/>
    <xdr:sp macro="" textlink="">
      <xdr:nvSpPr>
        <xdr:cNvPr id="63" name="TextBox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7334249" y="35725100"/>
          <a:ext cx="59497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Spain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207821</xdr:colOff>
      <xdr:row>213</xdr:row>
      <xdr:rowOff>17780</xdr:rowOff>
    </xdr:from>
    <xdr:ext cx="814582" cy="311496"/>
    <xdr:sp macro="" textlink="">
      <xdr:nvSpPr>
        <xdr:cNvPr id="64" name="TextBox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2021381" y="35725100"/>
          <a:ext cx="81458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Slovenia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208049</xdr:colOff>
      <xdr:row>233</xdr:row>
      <xdr:rowOff>113242</xdr:rowOff>
    </xdr:from>
    <xdr:ext cx="1060675" cy="311496"/>
    <xdr:sp macro="" textlink="">
      <xdr:nvSpPr>
        <xdr:cNvPr id="65" name="TextBox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2021609" y="39173362"/>
          <a:ext cx="106067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Switzerland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304597</xdr:colOff>
      <xdr:row>212</xdr:row>
      <xdr:rowOff>130598</xdr:rowOff>
    </xdr:from>
    <xdr:ext cx="776816" cy="311496"/>
    <xdr:sp macro="" textlink="">
      <xdr:nvSpPr>
        <xdr:cNvPr id="66" name="TextBox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12222277" y="35670278"/>
          <a:ext cx="77681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Sweden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134995</xdr:colOff>
      <xdr:row>233</xdr:row>
      <xdr:rowOff>110914</xdr:rowOff>
    </xdr:from>
    <xdr:ext cx="1394741" cy="311496"/>
    <xdr:sp macro="" textlink="">
      <xdr:nvSpPr>
        <xdr:cNvPr id="67" name="TextBox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12052675" y="39171034"/>
          <a:ext cx="139474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United</a:t>
          </a:r>
          <a:r>
            <a:rPr lang="en-US" sz="1400" b="1" baseline="0">
              <a:solidFill>
                <a:srgbClr val="00B050"/>
              </a:solidFill>
            </a:rPr>
            <a:t> Kingdom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20014</xdr:colOff>
      <xdr:row>233</xdr:row>
      <xdr:rowOff>91864</xdr:rowOff>
    </xdr:from>
    <xdr:ext cx="695319" cy="311496"/>
    <xdr:sp macro="" textlink="">
      <xdr:nvSpPr>
        <xdr:cNvPr id="68" name="TextBox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7182814" y="39151984"/>
          <a:ext cx="69531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Turkey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207839</xdr:colOff>
      <xdr:row>255</xdr:row>
      <xdr:rowOff>17780</xdr:rowOff>
    </xdr:from>
    <xdr:ext cx="495520" cy="311496"/>
    <xdr:sp macro="" textlink="">
      <xdr:nvSpPr>
        <xdr:cNvPr id="69" name="TextBox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7370639" y="42765980"/>
          <a:ext cx="49552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USA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3</xdr:col>
      <xdr:colOff>208475</xdr:colOff>
      <xdr:row>255</xdr:row>
      <xdr:rowOff>17780</xdr:rowOff>
    </xdr:from>
    <xdr:ext cx="771365" cy="311496"/>
    <xdr:sp macro="" textlink="">
      <xdr:nvSpPr>
        <xdr:cNvPr id="70" name="TextBox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2022035" y="42765980"/>
          <a:ext cx="7713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Ukraine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20</xdr:col>
      <xdr:colOff>477197</xdr:colOff>
      <xdr:row>65</xdr:row>
      <xdr:rowOff>57150</xdr:rowOff>
    </xdr:from>
    <xdr:ext cx="605166" cy="311496"/>
    <xdr:sp macro="" textlink="">
      <xdr:nvSpPr>
        <xdr:cNvPr id="71" name="TextBox 7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12394877" y="10953750"/>
          <a:ext cx="6051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China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twoCellAnchor>
    <xdr:from>
      <xdr:col>17</xdr:col>
      <xdr:colOff>457200</xdr:colOff>
      <xdr:row>238</xdr:row>
      <xdr:rowOff>0</xdr:rowOff>
    </xdr:from>
    <xdr:to>
      <xdr:col>25</xdr:col>
      <xdr:colOff>106680</xdr:colOff>
      <xdr:row>255</xdr:row>
      <xdr:rowOff>38100</xdr:rowOff>
    </xdr:to>
    <xdr:graphicFrame macro="">
      <xdr:nvGraphicFramePr>
        <xdr:cNvPr id="107" name="Chart 108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oneCellAnchor>
    <xdr:from>
      <xdr:col>21</xdr:col>
      <xdr:colOff>3175</xdr:colOff>
      <xdr:row>255</xdr:row>
      <xdr:rowOff>53975</xdr:rowOff>
    </xdr:from>
    <xdr:ext cx="938270" cy="311496"/>
    <xdr:sp macro="" textlink="">
      <xdr:nvSpPr>
        <xdr:cNvPr id="108" name="TextBox 110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12515215" y="42802175"/>
          <a:ext cx="93827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rgbClr val="00B050"/>
              </a:solidFill>
            </a:rPr>
            <a:t>Europe</a:t>
          </a:r>
          <a:r>
            <a:rPr lang="en-US" sz="1400" b="1" baseline="0">
              <a:solidFill>
                <a:srgbClr val="00B050"/>
              </a:solidFill>
            </a:rPr>
            <a:t> 29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twoCellAnchor editAs="oneCell">
    <xdr:from>
      <xdr:col>0</xdr:col>
      <xdr:colOff>68580</xdr:colOff>
      <xdr:row>0</xdr:row>
      <xdr:rowOff>106680</xdr:rowOff>
    </xdr:from>
    <xdr:to>
      <xdr:col>3</xdr:col>
      <xdr:colOff>382905</xdr:colOff>
      <xdr:row>3</xdr:row>
      <xdr:rowOff>20955</xdr:rowOff>
    </xdr:to>
    <xdr:pic>
      <xdr:nvPicPr>
        <xdr:cNvPr id="109" name="Picture 109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06680"/>
          <a:ext cx="21259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0.75416</cdr:x>
      <cdr:y>0.8897</cdr:y>
    </cdr:from>
    <cdr:to>
      <cdr:x>0.98843</cdr:x>
      <cdr:y>0.97475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05716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0.74887</cdr:x>
      <cdr:y>0.88823</cdr:y>
    </cdr:from>
    <cdr:to>
      <cdr:x>0.98593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6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0.74701</cdr:x>
      <cdr:y>0.89578</cdr:y>
    </cdr:from>
    <cdr:to>
      <cdr:x>0.9865</cdr:x>
      <cdr:y>0.98248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99883" y="253788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0.75959</cdr:x>
      <cdr:y>0.89265</cdr:y>
    </cdr:from>
    <cdr:to>
      <cdr:x>0.99337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37467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0.75362</cdr:x>
      <cdr:y>0.89192</cdr:y>
    </cdr:from>
    <cdr:to>
      <cdr:x>0.99067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3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0.7454</cdr:x>
      <cdr:y>0.8897</cdr:y>
    </cdr:from>
    <cdr:to>
      <cdr:x>0.98438</cdr:x>
      <cdr:y>0.97475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99884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0.76119</cdr:x>
      <cdr:y>0.8897</cdr:y>
    </cdr:from>
    <cdr:to>
      <cdr:x>0.99547</cdr:x>
      <cdr:y>0.97475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3746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0.75287</cdr:x>
      <cdr:y>0.89579</cdr:y>
    </cdr:from>
    <cdr:to>
      <cdr:x>0.98246</cdr:x>
      <cdr:y>0.98249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47F9072-0C64-96C1-835A-18E2749EDC0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69211" y="2537918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0.75674</cdr:x>
      <cdr:y>0.89192</cdr:y>
    </cdr:from>
    <cdr:to>
      <cdr:x>0.99329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8455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0.75885</cdr:x>
      <cdr:y>0.88454</cdr:y>
    </cdr:from>
    <cdr:to>
      <cdr:x>0.99312</cdr:x>
      <cdr:y>0.97016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26883" y="253788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0.75599</cdr:x>
      <cdr:y>0.89632</cdr:y>
    </cdr:from>
    <cdr:to>
      <cdr:x>0.99304</cdr:x>
      <cdr:y>0.98166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73967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0.75054</cdr:x>
      <cdr:y>0.89265</cdr:y>
    </cdr:from>
    <cdr:to>
      <cdr:x>0.98963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0.75725</cdr:x>
      <cdr:y>0.88823</cdr:y>
    </cdr:from>
    <cdr:to>
      <cdr:x>0.99103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26883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0.75285</cdr:x>
      <cdr:y>0.88823</cdr:y>
    </cdr:from>
    <cdr:to>
      <cdr:x>0.99041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0.74779</cdr:x>
      <cdr:y>0.89192</cdr:y>
    </cdr:from>
    <cdr:to>
      <cdr:x>0.98677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10466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0.75836</cdr:x>
      <cdr:y>0.89632</cdr:y>
    </cdr:from>
    <cdr:to>
      <cdr:x>0.99541</cdr:x>
      <cdr:y>0.98166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84550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0.75885</cdr:x>
      <cdr:y>0.89561</cdr:y>
    </cdr:from>
    <cdr:to>
      <cdr:x>0.99312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26883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0.75012</cdr:x>
      <cdr:y>0.89192</cdr:y>
    </cdr:from>
    <cdr:to>
      <cdr:x>0.98757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7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0.75048</cdr:x>
      <cdr:y>0.89192</cdr:y>
    </cdr:from>
    <cdr:to>
      <cdr:x>0.98804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42217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0.75799</cdr:x>
      <cdr:y>0.89561</cdr:y>
    </cdr:from>
    <cdr:to>
      <cdr:x>0.99128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3746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0.74964</cdr:x>
      <cdr:y>0.88823</cdr:y>
    </cdr:from>
    <cdr:to>
      <cdr:x>0.98619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0.75419</cdr:x>
      <cdr:y>0.88823</cdr:y>
    </cdr:from>
    <cdr:to>
      <cdr:x>0.99369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31633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0.75885</cdr:x>
      <cdr:y>0.89703</cdr:y>
    </cdr:from>
    <cdr:to>
      <cdr:x>0.99312</cdr:x>
      <cdr:y>0.98208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26883" y="259080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0.89192</cdr:y>
    </cdr:from>
    <cdr:to>
      <cdr:x>0.9883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0.75018</cdr:x>
      <cdr:y>0.89192</cdr:y>
    </cdr:from>
    <cdr:to>
      <cdr:x>0.98916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0.75725</cdr:x>
      <cdr:y>0.88454</cdr:y>
    </cdr:from>
    <cdr:to>
      <cdr:x>0.99103</cdr:x>
      <cdr:y>0.97016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26883" y="253788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0.7481</cdr:x>
      <cdr:y>0.88823</cdr:y>
    </cdr:from>
    <cdr:to>
      <cdr:x>0.98566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31634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0.74779</cdr:x>
      <cdr:y>0.89265</cdr:y>
    </cdr:from>
    <cdr:to>
      <cdr:x>0.98677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10466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0.75416</cdr:x>
      <cdr:y>0.89337</cdr:y>
    </cdr:from>
    <cdr:to>
      <cdr:x>0.98844</cdr:x>
      <cdr:y>0.97842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05717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0.76206</cdr:x>
      <cdr:y>0.9</cdr:y>
    </cdr:from>
    <cdr:to>
      <cdr:x>0.99165</cdr:x>
      <cdr:y>0.98533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11550" y="259080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0.74964</cdr:x>
      <cdr:y>0.88823</cdr:y>
    </cdr:from>
    <cdr:to>
      <cdr:x>0.98619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0.75018</cdr:x>
      <cdr:y>0.88823</cdr:y>
    </cdr:from>
    <cdr:to>
      <cdr:x>0.98916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0.75566</cdr:x>
      <cdr:y>0.89489</cdr:y>
    </cdr:from>
    <cdr:to>
      <cdr:x>0.98895</cdr:x>
      <cdr:y>0.98079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26884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0.74964</cdr:x>
      <cdr:y>0.89417</cdr:y>
    </cdr:from>
    <cdr:to>
      <cdr:x>0.98619</cdr:x>
      <cdr:y>0.98036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0.74701</cdr:x>
      <cdr:y>0.8897</cdr:y>
    </cdr:from>
    <cdr:to>
      <cdr:x>0.9865</cdr:x>
      <cdr:y>0.97475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99883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0.7565</cdr:x>
      <cdr:y>0.8897</cdr:y>
    </cdr:from>
    <cdr:to>
      <cdr:x>0.99078</cdr:x>
      <cdr:y>0.97475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416300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0.89337</cdr:y>
    </cdr:from>
    <cdr:to>
      <cdr:x>0.9883</cdr:x>
      <cdr:y>0.97842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0.7497</cdr:x>
      <cdr:y>0.89561</cdr:y>
    </cdr:from>
    <cdr:to>
      <cdr:x>0.98777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31633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0.74463</cdr:x>
      <cdr:y>0.88462</cdr:y>
    </cdr:from>
    <cdr:to>
      <cdr:x>0.98569</cdr:x>
      <cdr:y>0.96883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87346245-77D6-C832-C496-EC5C9F1528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68133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586740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14249401" cy="781240"/>
    <xdr:sp macro="" textlink="">
      <xdr:nvSpPr>
        <xdr:cNvPr id="4" name="ZoneText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971800" y="0"/>
          <a:ext cx="1424940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3BAC36"/>
              </a:solidFill>
            </a:rPr>
            <a:t>Perimeters:</a:t>
          </a:r>
          <a:r>
            <a:rPr lang="en-GB" sz="1100" b="1" baseline="0">
              <a:solidFill>
                <a:srgbClr val="3BAC36"/>
              </a:solidFill>
            </a:rPr>
            <a:t> </a:t>
          </a:r>
        </a:p>
        <a:p>
          <a:endParaRPr lang="en-GB" sz="1100" baseline="0"/>
        </a:p>
        <a:p>
          <a:r>
            <a:rPr lang="en-GB" sz="1100" b="1" baseline="0"/>
            <a:t>- </a:t>
          </a:r>
          <a:r>
            <a:rPr lang="en-GB" sz="1100" b="1" baseline="0">
              <a:solidFill>
                <a:srgbClr val="3BAC36"/>
              </a:solidFill>
            </a:rPr>
            <a:t>EU 29</a:t>
          </a:r>
          <a:r>
            <a:rPr lang="en-GB" sz="1100" b="1" baseline="0"/>
            <a:t>: ITALY, GERMANY, FRANCE, UK, SPAIN, BELGIUM, NETHERLANDS, SWITZERLAND, SWEDEN, AUSTRIA, PORTUGAL, IRELAND, GREECE, FINLAND, DENMARK, NORWAY, LUXEMBOURG, ESTONIA, LATVIA, LITUANIA, BULGARIA, CROATIA,          CZECH REPUBLIC, HUNGARY, POLAND, ROMANIA, SLOVAKIA, SLOVENIA, CYPRUS.</a:t>
          </a:r>
          <a:endParaRPr lang="en-GB" sz="1100" b="1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0.75201</cdr:x>
      <cdr:y>0.89265</cdr:y>
    </cdr:from>
    <cdr:to>
      <cdr:x>0.98856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4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628650</xdr:colOff>
      <xdr:row>3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14249401" cy="781240"/>
    <xdr:sp macro="" textlink="">
      <xdr:nvSpPr>
        <xdr:cNvPr id="5" name="ZoneText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971800" y="0"/>
          <a:ext cx="1424940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3BAC36"/>
              </a:solidFill>
            </a:rPr>
            <a:t>Perimeters:</a:t>
          </a:r>
          <a:r>
            <a:rPr lang="en-GB" sz="1100" b="1" baseline="0">
              <a:solidFill>
                <a:srgbClr val="3BAC36"/>
              </a:solidFill>
            </a:rPr>
            <a:t> </a:t>
          </a:r>
        </a:p>
        <a:p>
          <a:endParaRPr lang="en-GB" sz="1100" b="1" baseline="0"/>
        </a:p>
        <a:p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1100" b="1">
              <a:solidFill>
                <a:srgbClr val="3BAC36"/>
              </a:solidFill>
              <a:latin typeface="+mn-lt"/>
              <a:ea typeface="+mn-ea"/>
              <a:cs typeface="+mn-cs"/>
            </a:rPr>
            <a:t>Europe 29: 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ITALY, GERMANY, FRANCE, UK, SPAIN, BELGIUM, NETHERLANDS, SWITZERLAND, SWEDEN, AUSTRIA, PORTUGAL, IRELAND, GREECE, FINLAND, DENMARK, NORWAY, LUXEMBOURG,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ESTONIA, LATVIA, LITUANIA, BULGARIA, CROATIA, CZECH REPUBLIC, HUNGARY, POLAND, ROMANIA, SLOVAKIA, SLOVENIA, CYPRUS.</a:t>
          </a:r>
          <a:endParaRPr lang="en-US">
            <a:effectLst/>
          </a:endParaRPr>
        </a:p>
      </xdr:txBody>
    </xdr:sp>
    <xdr:clientData/>
  </xdr:one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53340</xdr:rowOff>
    </xdr:from>
    <xdr:to>
      <xdr:col>2</xdr:col>
      <xdr:colOff>169545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340"/>
          <a:ext cx="1872615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14249401" cy="781240"/>
    <xdr:sp macro="" textlink="">
      <xdr:nvSpPr>
        <xdr:cNvPr id="4" name="ZoneText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571750" y="0"/>
          <a:ext cx="1424940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3BAC36"/>
              </a:solidFill>
            </a:rPr>
            <a:t>Perimeters:</a:t>
          </a:r>
          <a:r>
            <a:rPr lang="en-GB" sz="1100" b="1" baseline="0">
              <a:solidFill>
                <a:srgbClr val="3BAC36"/>
              </a:solidFill>
            </a:rPr>
            <a:t> </a:t>
          </a:r>
        </a:p>
        <a:p>
          <a:endParaRPr lang="en-GB" sz="1100" b="1" baseline="0"/>
        </a:p>
        <a:p>
          <a:pPr eaLnBrk="1" fontAlgn="auto" latinLnBrk="0" hangingPunct="1"/>
          <a: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1100" b="1">
              <a:solidFill>
                <a:srgbClr val="3BAC36"/>
              </a:solidFill>
              <a:latin typeface="+mn-lt"/>
              <a:ea typeface="+mn-ea"/>
              <a:cs typeface="+mn-cs"/>
            </a:rPr>
            <a:t>Europe 29: </a:t>
          </a:r>
          <a: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ITALY, GERMANY, FRANCE, UK, SPAIN, BELGIUM, NETHERLANDS, SWITZERLAND, SWEDEN, AUSTRIA, PORTUGAL, IRELAND, GREECE, FINLAND, DENMARK, NORWAY, LUXEMBOURG, </a:t>
          </a:r>
          <a:b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ESTONIA, LATVIA, LITUANIA, BULGARIA, CROATIA, CZECH REPUBLIC, HUNGARY, POLAND, ROMANIA, SLOVAKIA, SLOVENIA, CYPRUS.</a:t>
          </a:r>
          <a:endParaRPr lang="en-US">
            <a:effectLst/>
          </a:endParaRPr>
        </a:p>
      </xdr:txBody>
    </xdr:sp>
    <xdr:clientData/>
  </xdr:one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220980</xdr:colOff>
      <xdr:row>5</xdr:row>
      <xdr:rowOff>0</xdr:rowOff>
    </xdr:from>
    <xdr:to>
      <xdr:col>7</xdr:col>
      <xdr:colOff>533400</xdr:colOff>
      <xdr:row>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226495</xdr:colOff>
      <xdr:row>24</xdr:row>
      <xdr:rowOff>10583</xdr:rowOff>
    </xdr:from>
    <xdr:ext cx="776816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2194995" y="4074583"/>
          <a:ext cx="7768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Europe 29</a:t>
          </a:r>
        </a:p>
      </xdr:txBody>
    </xdr:sp>
    <xdr:clientData/>
  </xdr:oneCellAnchor>
  <xdr:oneCellAnchor>
    <xdr:from>
      <xdr:col>12</xdr:col>
      <xdr:colOff>162845</xdr:colOff>
      <xdr:row>24</xdr:row>
      <xdr:rowOff>49742</xdr:rowOff>
    </xdr:from>
    <xdr:ext cx="42890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7465345" y="4113742"/>
          <a:ext cx="428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USA</a:t>
          </a:r>
        </a:p>
      </xdr:txBody>
    </xdr:sp>
    <xdr:clientData/>
  </xdr:oneCellAnchor>
  <xdr:oneCellAnchor>
    <xdr:from>
      <xdr:col>3</xdr:col>
      <xdr:colOff>364057</xdr:colOff>
      <xdr:row>44</xdr:row>
      <xdr:rowOff>96096</xdr:rowOff>
    </xdr:from>
    <xdr:ext cx="51501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2337637" y="7472256"/>
          <a:ext cx="5150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China</a:t>
          </a:r>
        </a:p>
      </xdr:txBody>
    </xdr:sp>
    <xdr:clientData/>
  </xdr:oneCellAnchor>
  <xdr:oneCellAnchor>
    <xdr:from>
      <xdr:col>12</xdr:col>
      <xdr:colOff>58478</xdr:colOff>
      <xdr:row>44</xdr:row>
      <xdr:rowOff>59902</xdr:rowOff>
    </xdr:from>
    <xdr:ext cx="522066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7381298" y="7436062"/>
          <a:ext cx="5220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Japan</a:t>
          </a:r>
        </a:p>
      </xdr:txBody>
    </xdr:sp>
    <xdr:clientData/>
  </xdr:oneCellAnchor>
  <xdr:oneCellAnchor>
    <xdr:from>
      <xdr:col>20</xdr:col>
      <xdr:colOff>440188</xdr:colOff>
      <xdr:row>44</xdr:row>
      <xdr:rowOff>57150</xdr:rowOff>
    </xdr:from>
    <xdr:ext cx="528478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12517888" y="7433310"/>
          <a:ext cx="5284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Korea</a:t>
          </a:r>
        </a:p>
      </xdr:txBody>
    </xdr:sp>
    <xdr:clientData/>
  </xdr:oneCellAnchor>
  <xdr:oneCellAnchor>
    <xdr:from>
      <xdr:col>3</xdr:col>
      <xdr:colOff>438219</xdr:colOff>
      <xdr:row>65</xdr:row>
      <xdr:rowOff>76200</xdr:rowOff>
    </xdr:from>
    <xdr:ext cx="478016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2411799" y="10972800"/>
          <a:ext cx="4780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India</a:t>
          </a:r>
        </a:p>
      </xdr:txBody>
    </xdr:sp>
    <xdr:clientData/>
  </xdr:oneCellAnchor>
  <xdr:oneCellAnchor>
    <xdr:from>
      <xdr:col>12</xdr:col>
      <xdr:colOff>78978</xdr:colOff>
      <xdr:row>65</xdr:row>
      <xdr:rowOff>76200</xdr:rowOff>
    </xdr:from>
    <xdr:ext cx="508794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7401798" y="10972800"/>
          <a:ext cx="5087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Brazil</a:t>
          </a:r>
        </a:p>
      </xdr:txBody>
    </xdr:sp>
    <xdr:clientData/>
  </xdr:oneCellAnchor>
  <xdr:oneCellAnchor>
    <xdr:from>
      <xdr:col>20</xdr:col>
      <xdr:colOff>399713</xdr:colOff>
      <xdr:row>65</xdr:row>
      <xdr:rowOff>79587</xdr:rowOff>
    </xdr:from>
    <xdr:ext cx="585930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12477413" y="10976187"/>
          <a:ext cx="5859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Turkey</a:t>
          </a:r>
        </a:p>
      </xdr:txBody>
    </xdr:sp>
    <xdr:clientData/>
  </xdr:oneCellAnchor>
  <xdr:oneCellAnchor>
    <xdr:from>
      <xdr:col>3</xdr:col>
      <xdr:colOff>379749</xdr:colOff>
      <xdr:row>86</xdr:row>
      <xdr:rowOff>74930</xdr:rowOff>
    </xdr:from>
    <xdr:ext cx="613373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2353329" y="14491970"/>
          <a:ext cx="6133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Mexico</a:t>
          </a:r>
        </a:p>
      </xdr:txBody>
    </xdr:sp>
    <xdr:clientData/>
  </xdr:oneCellAnchor>
  <xdr:oneCellAnchor>
    <xdr:from>
      <xdr:col>12</xdr:col>
      <xdr:colOff>20795</xdr:colOff>
      <xdr:row>86</xdr:row>
      <xdr:rowOff>78317</xdr:rowOff>
    </xdr:from>
    <xdr:ext cx="619657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7343615" y="14495357"/>
          <a:ext cx="6196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Canada</a:t>
          </a:r>
        </a:p>
      </xdr:txBody>
    </xdr:sp>
    <xdr:clientData/>
  </xdr:oneCellAnchor>
  <xdr:oneCellAnchor>
    <xdr:from>
      <xdr:col>20</xdr:col>
      <xdr:colOff>172071</xdr:colOff>
      <xdr:row>86</xdr:row>
      <xdr:rowOff>58208</xdr:rowOff>
    </xdr:from>
    <xdr:ext cx="709746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12249771" y="14475248"/>
          <a:ext cx="7097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Australia</a:t>
          </a:r>
        </a:p>
      </xdr:txBody>
    </xdr:sp>
    <xdr:clientData/>
  </xdr:oneCellAnchor>
  <xdr:twoCellAnchor>
    <xdr:from>
      <xdr:col>0</xdr:col>
      <xdr:colOff>390524</xdr:colOff>
      <xdr:row>6</xdr:row>
      <xdr:rowOff>131233</xdr:rowOff>
    </xdr:from>
    <xdr:to>
      <xdr:col>7</xdr:col>
      <xdr:colOff>478366</xdr:colOff>
      <xdr:row>23</xdr:row>
      <xdr:rowOff>121708</xdr:rowOff>
    </xdr:to>
    <xdr:graphicFrame macro="">
      <xdr:nvGraphicFramePr>
        <xdr:cNvPr id="33" name="Chart 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467572</xdr:colOff>
      <xdr:row>6</xdr:row>
      <xdr:rowOff>138853</xdr:rowOff>
    </xdr:from>
    <xdr:to>
      <xdr:col>16</xdr:col>
      <xdr:colOff>187325</xdr:colOff>
      <xdr:row>23</xdr:row>
      <xdr:rowOff>127423</xdr:rowOff>
    </xdr:to>
    <xdr:graphicFrame macro="">
      <xdr:nvGraphicFramePr>
        <xdr:cNvPr id="34" name="Chart 2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198120</xdr:colOff>
      <xdr:row>27</xdr:row>
      <xdr:rowOff>76200</xdr:rowOff>
    </xdr:from>
    <xdr:to>
      <xdr:col>7</xdr:col>
      <xdr:colOff>502920</xdr:colOff>
      <xdr:row>44</xdr:row>
      <xdr:rowOff>68580</xdr:rowOff>
    </xdr:to>
    <xdr:graphicFrame macro="">
      <xdr:nvGraphicFramePr>
        <xdr:cNvPr id="35" name="Chart 2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472440</xdr:colOff>
      <xdr:row>27</xdr:row>
      <xdr:rowOff>60960</xdr:rowOff>
    </xdr:from>
    <xdr:to>
      <xdr:col>16</xdr:col>
      <xdr:colOff>152400</xdr:colOff>
      <xdr:row>44</xdr:row>
      <xdr:rowOff>53340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198120</xdr:colOff>
      <xdr:row>27</xdr:row>
      <xdr:rowOff>45720</xdr:rowOff>
    </xdr:from>
    <xdr:to>
      <xdr:col>24</xdr:col>
      <xdr:colOff>525780</xdr:colOff>
      <xdr:row>44</xdr:row>
      <xdr:rowOff>38100</xdr:rowOff>
    </xdr:to>
    <xdr:graphicFrame macro="">
      <xdr:nvGraphicFramePr>
        <xdr:cNvPr id="37" name="Chart 2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198120</xdr:colOff>
      <xdr:row>48</xdr:row>
      <xdr:rowOff>76200</xdr:rowOff>
    </xdr:from>
    <xdr:to>
      <xdr:col>7</xdr:col>
      <xdr:colOff>502920</xdr:colOff>
      <xdr:row>65</xdr:row>
      <xdr:rowOff>68580</xdr:rowOff>
    </xdr:to>
    <xdr:graphicFrame macro="">
      <xdr:nvGraphicFramePr>
        <xdr:cNvPr id="38" name="Chart 2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487680</xdr:colOff>
      <xdr:row>48</xdr:row>
      <xdr:rowOff>76200</xdr:rowOff>
    </xdr:from>
    <xdr:to>
      <xdr:col>16</xdr:col>
      <xdr:colOff>175260</xdr:colOff>
      <xdr:row>65</xdr:row>
      <xdr:rowOff>68580</xdr:rowOff>
    </xdr:to>
    <xdr:graphicFrame macro="">
      <xdr:nvGraphicFramePr>
        <xdr:cNvPr id="39" name="Chart 2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213360</xdr:colOff>
      <xdr:row>48</xdr:row>
      <xdr:rowOff>68580</xdr:rowOff>
    </xdr:from>
    <xdr:to>
      <xdr:col>24</xdr:col>
      <xdr:colOff>525780</xdr:colOff>
      <xdr:row>65</xdr:row>
      <xdr:rowOff>68580</xdr:rowOff>
    </xdr:to>
    <xdr:graphicFrame macro="">
      <xdr:nvGraphicFramePr>
        <xdr:cNvPr id="40" name="Chart 2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220980</xdr:colOff>
      <xdr:row>69</xdr:row>
      <xdr:rowOff>76200</xdr:rowOff>
    </xdr:from>
    <xdr:to>
      <xdr:col>7</xdr:col>
      <xdr:colOff>533400</xdr:colOff>
      <xdr:row>86</xdr:row>
      <xdr:rowOff>76200</xdr:rowOff>
    </xdr:to>
    <xdr:graphicFrame macro="">
      <xdr:nvGraphicFramePr>
        <xdr:cNvPr id="41" name="Chart 2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495300</xdr:colOff>
      <xdr:row>69</xdr:row>
      <xdr:rowOff>76200</xdr:rowOff>
    </xdr:from>
    <xdr:to>
      <xdr:col>16</xdr:col>
      <xdr:colOff>182880</xdr:colOff>
      <xdr:row>86</xdr:row>
      <xdr:rowOff>68580</xdr:rowOff>
    </xdr:to>
    <xdr:graphicFrame macro="">
      <xdr:nvGraphicFramePr>
        <xdr:cNvPr id="42" name="Chart 2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213360</xdr:colOff>
      <xdr:row>69</xdr:row>
      <xdr:rowOff>68580</xdr:rowOff>
    </xdr:from>
    <xdr:to>
      <xdr:col>24</xdr:col>
      <xdr:colOff>533400</xdr:colOff>
      <xdr:row>86</xdr:row>
      <xdr:rowOff>60960</xdr:rowOff>
    </xdr:to>
    <xdr:graphicFrame macro="">
      <xdr:nvGraphicFramePr>
        <xdr:cNvPr id="43" name="Chart 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121920</xdr:colOff>
      <xdr:row>0</xdr:row>
      <xdr:rowOff>99060</xdr:rowOff>
    </xdr:from>
    <xdr:to>
      <xdr:col>3</xdr:col>
      <xdr:colOff>426720</xdr:colOff>
      <xdr:row>3</xdr:row>
      <xdr:rowOff>0</xdr:rowOff>
    </xdr:to>
    <xdr:pic>
      <xdr:nvPicPr>
        <xdr:cNvPr id="56" name="Picture 56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9060"/>
          <a:ext cx="22631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201084</xdr:colOff>
      <xdr:row>6</xdr:row>
      <xdr:rowOff>137583</xdr:rowOff>
    </xdr:from>
    <xdr:to>
      <xdr:col>24</xdr:col>
      <xdr:colOff>521124</xdr:colOff>
      <xdr:row>23</xdr:row>
      <xdr:rowOff>129963</xdr:rowOff>
    </xdr:to>
    <xdr:graphicFrame macro="">
      <xdr:nvGraphicFramePr>
        <xdr:cNvPr id="44" name="Chart 2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20</xdr:col>
      <xdr:colOff>455083</xdr:colOff>
      <xdr:row>24</xdr:row>
      <xdr:rowOff>21167</xdr:rowOff>
    </xdr:from>
    <xdr:ext cx="762838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12276666" y="3831167"/>
          <a:ext cx="7628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Argentina</a:t>
          </a:r>
        </a:p>
      </xdr:txBody>
    </xdr:sp>
    <xdr:clientData/>
  </xdr:oneCell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0.74157</cdr:x>
      <cdr:y>0.88882</cdr:y>
    </cdr:from>
    <cdr:to>
      <cdr:x>0.98086</cdr:x>
      <cdr:y>0.97449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3F31DC45-B138-8FB0-C8E8-2A4523BE23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78717" y="254846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0.74477</cdr:x>
      <cdr:y>0.87542</cdr:y>
    </cdr:from>
    <cdr:to>
      <cdr:x>0.98202</cdr:x>
      <cdr:y>0.96087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167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0.75843</cdr:x>
      <cdr:y>0.88823</cdr:y>
    </cdr:from>
    <cdr:to>
      <cdr:x>0.98625</cdr:x>
      <cdr:y>0.97385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22133" y="254846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0.7494</cdr:x>
      <cdr:y>0.89265</cdr:y>
    </cdr:from>
    <cdr:to>
      <cdr:x>0.9889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1046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0.75438</cdr:x>
      <cdr:y>0.89561</cdr:y>
    </cdr:from>
    <cdr:to>
      <cdr:x>0.99093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7396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0.76299</cdr:x>
      <cdr:y>0.89192</cdr:y>
    </cdr:from>
    <cdr:to>
      <cdr:x>0.9908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0.75018</cdr:x>
      <cdr:y>0.89192</cdr:y>
    </cdr:from>
    <cdr:to>
      <cdr:x>0.98916</cdr:x>
      <cdr:y>0.97754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5905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0.75976</cdr:x>
      <cdr:y>0.89561</cdr:y>
    </cdr:from>
    <cdr:to>
      <cdr:x>0.98936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A5CAF7A-5071-8F2F-3E9C-39012C0672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00967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0.75124</cdr:x>
      <cdr:y>0.89632</cdr:y>
    </cdr:from>
    <cdr:to>
      <cdr:x>0.9883</cdr:x>
      <cdr:y>0.98166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0.76143</cdr:x>
      <cdr:y>0.9</cdr:y>
    </cdr:from>
    <cdr:to>
      <cdr:x>0.98878</cdr:x>
      <cdr:y>0.98533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43300" y="2590800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0.75018</cdr:x>
      <cdr:y>0.8993</cdr:y>
    </cdr:from>
    <cdr:to>
      <cdr:x>0.98916</cdr:x>
      <cdr:y>0.98491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21050" y="2580216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0.74964</cdr:x>
      <cdr:y>0.8993</cdr:y>
    </cdr:from>
    <cdr:to>
      <cdr:x>0.98619</cdr:x>
      <cdr:y>0.98491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52800" y="2580217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0.75362</cdr:x>
      <cdr:y>0.89265</cdr:y>
    </cdr:from>
    <cdr:to>
      <cdr:x>0.99067</cdr:x>
      <cdr:y>0.97798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594CBCD-665A-4CC0-2208-14CE61AFB65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4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114300</xdr:colOff>
      <xdr:row>2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28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14249401" cy="781240"/>
    <xdr:sp macro="" textlink="">
      <xdr:nvSpPr>
        <xdr:cNvPr id="4" name="ZoneTexte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695575" y="0"/>
          <a:ext cx="1424940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3BAC36"/>
              </a:solidFill>
            </a:rPr>
            <a:t>Perimeters:</a:t>
          </a:r>
          <a:r>
            <a:rPr lang="en-GB" sz="1100" b="1" baseline="0">
              <a:solidFill>
                <a:srgbClr val="3BAC36"/>
              </a:solidFill>
            </a:rPr>
            <a:t> </a:t>
          </a:r>
        </a:p>
        <a:p>
          <a:endParaRPr lang="en-GB" sz="1100" b="1" baseline="0"/>
        </a:p>
        <a:p>
          <a:pPr eaLnBrk="1" fontAlgn="auto" latinLnBrk="0" hangingPunct="1"/>
          <a: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1100" b="1">
              <a:solidFill>
                <a:srgbClr val="3BAC36"/>
              </a:solidFill>
              <a:latin typeface="+mn-lt"/>
              <a:ea typeface="+mn-ea"/>
              <a:cs typeface="+mn-cs"/>
            </a:rPr>
            <a:t>Europe 29: </a:t>
          </a:r>
          <a: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ITALY, GERMANY, FRANCE, UK, SPAIN, BELGIUM, NETHERLANDS, SWITZERLAND, SWEDEN, AUSTRIA, PORTUGAL, IRELAND, GREECE, FINLAND, DENMARK, NORWAY, LUXEMBOURG, </a:t>
          </a:r>
          <a:b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ESTONIA, LATVIA, LITUANIA, BULGARIA, CROATIA, CZECH REPUBLIC, HUNGARY, POLAND, ROMANIA, SLOVAKIA, SLOVENIA, CYPRUS.</a:t>
          </a:r>
          <a:endParaRPr lang="en-US">
            <a:effectLst/>
          </a:endParaRPr>
        </a:p>
      </xdr:txBody>
    </xdr:sp>
    <xdr:clientData/>
  </xdr:one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220980</xdr:colOff>
      <xdr:row>5</xdr:row>
      <xdr:rowOff>0</xdr:rowOff>
    </xdr:from>
    <xdr:to>
      <xdr:col>7</xdr:col>
      <xdr:colOff>533400</xdr:colOff>
      <xdr:row>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198120</xdr:colOff>
      <xdr:row>5</xdr:row>
      <xdr:rowOff>0</xdr:rowOff>
    </xdr:from>
    <xdr:to>
      <xdr:col>7</xdr:col>
      <xdr:colOff>502920</xdr:colOff>
      <xdr:row>5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138018</xdr:colOff>
      <xdr:row>23</xdr:row>
      <xdr:rowOff>63500</xdr:rowOff>
    </xdr:from>
    <xdr:ext cx="776816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2106518" y="3958167"/>
          <a:ext cx="7768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Europe 29</a:t>
          </a:r>
        </a:p>
      </xdr:txBody>
    </xdr:sp>
    <xdr:clientData/>
  </xdr:oneCellAnchor>
  <xdr:oneCellAnchor>
    <xdr:from>
      <xdr:col>12</xdr:col>
      <xdr:colOff>162845</xdr:colOff>
      <xdr:row>23</xdr:row>
      <xdr:rowOff>81492</xdr:rowOff>
    </xdr:from>
    <xdr:ext cx="42890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7465345" y="3976159"/>
          <a:ext cx="428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USA</a:t>
          </a:r>
        </a:p>
      </xdr:txBody>
    </xdr:sp>
    <xdr:clientData/>
  </xdr:oneCellAnchor>
  <xdr:oneCellAnchor>
    <xdr:from>
      <xdr:col>3</xdr:col>
      <xdr:colOff>364057</xdr:colOff>
      <xdr:row>44</xdr:row>
      <xdr:rowOff>96096</xdr:rowOff>
    </xdr:from>
    <xdr:ext cx="51501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2718637" y="7472256"/>
          <a:ext cx="5150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China</a:t>
          </a:r>
        </a:p>
      </xdr:txBody>
    </xdr:sp>
    <xdr:clientData/>
  </xdr:oneCellAnchor>
  <xdr:oneCellAnchor>
    <xdr:from>
      <xdr:col>12</xdr:col>
      <xdr:colOff>58478</xdr:colOff>
      <xdr:row>44</xdr:row>
      <xdr:rowOff>59902</xdr:rowOff>
    </xdr:from>
    <xdr:ext cx="522066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9476798" y="7436062"/>
          <a:ext cx="5220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Japan</a:t>
          </a:r>
        </a:p>
      </xdr:txBody>
    </xdr:sp>
    <xdr:clientData/>
  </xdr:oneCellAnchor>
  <xdr:oneCellAnchor>
    <xdr:from>
      <xdr:col>20</xdr:col>
      <xdr:colOff>440188</xdr:colOff>
      <xdr:row>44</xdr:row>
      <xdr:rowOff>57150</xdr:rowOff>
    </xdr:from>
    <xdr:ext cx="528478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6137388" y="7433310"/>
          <a:ext cx="5284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Korea</a:t>
          </a:r>
        </a:p>
      </xdr:txBody>
    </xdr:sp>
    <xdr:clientData/>
  </xdr:oneCellAnchor>
  <xdr:oneCellAnchor>
    <xdr:from>
      <xdr:col>3</xdr:col>
      <xdr:colOff>438219</xdr:colOff>
      <xdr:row>65</xdr:row>
      <xdr:rowOff>76200</xdr:rowOff>
    </xdr:from>
    <xdr:ext cx="478016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2792799" y="10972800"/>
          <a:ext cx="47801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India</a:t>
          </a:r>
        </a:p>
      </xdr:txBody>
    </xdr:sp>
    <xdr:clientData/>
  </xdr:oneCellAnchor>
  <xdr:oneCellAnchor>
    <xdr:from>
      <xdr:col>12</xdr:col>
      <xdr:colOff>78978</xdr:colOff>
      <xdr:row>65</xdr:row>
      <xdr:rowOff>76200</xdr:rowOff>
    </xdr:from>
    <xdr:ext cx="508794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9497298" y="10972800"/>
          <a:ext cx="5087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Brazil</a:t>
          </a:r>
        </a:p>
      </xdr:txBody>
    </xdr:sp>
    <xdr:clientData/>
  </xdr:oneCellAnchor>
  <xdr:oneCellAnchor>
    <xdr:from>
      <xdr:col>20</xdr:col>
      <xdr:colOff>399713</xdr:colOff>
      <xdr:row>65</xdr:row>
      <xdr:rowOff>79587</xdr:rowOff>
    </xdr:from>
    <xdr:ext cx="585930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16096913" y="10976187"/>
          <a:ext cx="5859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Turkey</a:t>
          </a:r>
        </a:p>
      </xdr:txBody>
    </xdr:sp>
    <xdr:clientData/>
  </xdr:oneCellAnchor>
  <xdr:oneCellAnchor>
    <xdr:from>
      <xdr:col>3</xdr:col>
      <xdr:colOff>379749</xdr:colOff>
      <xdr:row>86</xdr:row>
      <xdr:rowOff>74930</xdr:rowOff>
    </xdr:from>
    <xdr:ext cx="613373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2734329" y="14491970"/>
          <a:ext cx="6133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Mexico</a:t>
          </a:r>
        </a:p>
      </xdr:txBody>
    </xdr:sp>
    <xdr:clientData/>
  </xdr:oneCellAnchor>
  <xdr:oneCellAnchor>
    <xdr:from>
      <xdr:col>12</xdr:col>
      <xdr:colOff>20795</xdr:colOff>
      <xdr:row>86</xdr:row>
      <xdr:rowOff>78317</xdr:rowOff>
    </xdr:from>
    <xdr:ext cx="619657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9439115" y="14495357"/>
          <a:ext cx="6196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Canada</a:t>
          </a:r>
        </a:p>
      </xdr:txBody>
    </xdr:sp>
    <xdr:clientData/>
  </xdr:oneCellAnchor>
  <xdr:oneCellAnchor>
    <xdr:from>
      <xdr:col>20</xdr:col>
      <xdr:colOff>172071</xdr:colOff>
      <xdr:row>86</xdr:row>
      <xdr:rowOff>58208</xdr:rowOff>
    </xdr:from>
    <xdr:ext cx="709746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15869271" y="14475248"/>
          <a:ext cx="7097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Australia</a:t>
          </a:r>
        </a:p>
      </xdr:txBody>
    </xdr:sp>
    <xdr:clientData/>
  </xdr:oneCellAnchor>
  <xdr:twoCellAnchor>
    <xdr:from>
      <xdr:col>0</xdr:col>
      <xdr:colOff>295275</xdr:colOff>
      <xdr:row>5</xdr:row>
      <xdr:rowOff>162983</xdr:rowOff>
    </xdr:from>
    <xdr:to>
      <xdr:col>7</xdr:col>
      <xdr:colOff>383117</xdr:colOff>
      <xdr:row>22</xdr:row>
      <xdr:rowOff>153459</xdr:rowOff>
    </xdr:to>
    <xdr:graphicFrame macro="">
      <xdr:nvGraphicFramePr>
        <xdr:cNvPr id="33" name="Chart 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508000</xdr:colOff>
      <xdr:row>5</xdr:row>
      <xdr:rowOff>140759</xdr:rowOff>
    </xdr:from>
    <xdr:to>
      <xdr:col>16</xdr:col>
      <xdr:colOff>229658</xdr:colOff>
      <xdr:row>22</xdr:row>
      <xdr:rowOff>131235</xdr:rowOff>
    </xdr:to>
    <xdr:graphicFrame macro="">
      <xdr:nvGraphicFramePr>
        <xdr:cNvPr id="34" name="Chart 2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198120</xdr:colOff>
      <xdr:row>27</xdr:row>
      <xdr:rowOff>76200</xdr:rowOff>
    </xdr:from>
    <xdr:to>
      <xdr:col>7</xdr:col>
      <xdr:colOff>502920</xdr:colOff>
      <xdr:row>44</xdr:row>
      <xdr:rowOff>68580</xdr:rowOff>
    </xdr:to>
    <xdr:graphicFrame macro="">
      <xdr:nvGraphicFramePr>
        <xdr:cNvPr id="35" name="Chart 2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472440</xdr:colOff>
      <xdr:row>27</xdr:row>
      <xdr:rowOff>60960</xdr:rowOff>
    </xdr:from>
    <xdr:to>
      <xdr:col>16</xdr:col>
      <xdr:colOff>152400</xdr:colOff>
      <xdr:row>44</xdr:row>
      <xdr:rowOff>53340</xdr:rowOff>
    </xdr:to>
    <xdr:graphicFrame macro="">
      <xdr:nvGraphicFramePr>
        <xdr:cNvPr id="36" name="Chart 2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198120</xdr:colOff>
      <xdr:row>27</xdr:row>
      <xdr:rowOff>45720</xdr:rowOff>
    </xdr:from>
    <xdr:to>
      <xdr:col>24</xdr:col>
      <xdr:colOff>525780</xdr:colOff>
      <xdr:row>44</xdr:row>
      <xdr:rowOff>38100</xdr:rowOff>
    </xdr:to>
    <xdr:graphicFrame macro="">
      <xdr:nvGraphicFramePr>
        <xdr:cNvPr id="37" name="Chart 2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198120</xdr:colOff>
      <xdr:row>48</xdr:row>
      <xdr:rowOff>76200</xdr:rowOff>
    </xdr:from>
    <xdr:to>
      <xdr:col>7</xdr:col>
      <xdr:colOff>502920</xdr:colOff>
      <xdr:row>65</xdr:row>
      <xdr:rowOff>68580</xdr:rowOff>
    </xdr:to>
    <xdr:graphicFrame macro="">
      <xdr:nvGraphicFramePr>
        <xdr:cNvPr id="38" name="Chart 2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487680</xdr:colOff>
      <xdr:row>48</xdr:row>
      <xdr:rowOff>76200</xdr:rowOff>
    </xdr:from>
    <xdr:to>
      <xdr:col>16</xdr:col>
      <xdr:colOff>175260</xdr:colOff>
      <xdr:row>65</xdr:row>
      <xdr:rowOff>68580</xdr:rowOff>
    </xdr:to>
    <xdr:graphicFrame macro="">
      <xdr:nvGraphicFramePr>
        <xdr:cNvPr id="39" name="Chart 2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213360</xdr:colOff>
      <xdr:row>48</xdr:row>
      <xdr:rowOff>68580</xdr:rowOff>
    </xdr:from>
    <xdr:to>
      <xdr:col>24</xdr:col>
      <xdr:colOff>525780</xdr:colOff>
      <xdr:row>65</xdr:row>
      <xdr:rowOff>68580</xdr:rowOff>
    </xdr:to>
    <xdr:graphicFrame macro="">
      <xdr:nvGraphicFramePr>
        <xdr:cNvPr id="40" name="Chart 2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220980</xdr:colOff>
      <xdr:row>69</xdr:row>
      <xdr:rowOff>76200</xdr:rowOff>
    </xdr:from>
    <xdr:to>
      <xdr:col>7</xdr:col>
      <xdr:colOff>533400</xdr:colOff>
      <xdr:row>86</xdr:row>
      <xdr:rowOff>76200</xdr:rowOff>
    </xdr:to>
    <xdr:graphicFrame macro="">
      <xdr:nvGraphicFramePr>
        <xdr:cNvPr id="41" name="Chart 2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495300</xdr:colOff>
      <xdr:row>69</xdr:row>
      <xdr:rowOff>76200</xdr:rowOff>
    </xdr:from>
    <xdr:to>
      <xdr:col>16</xdr:col>
      <xdr:colOff>182880</xdr:colOff>
      <xdr:row>86</xdr:row>
      <xdr:rowOff>68580</xdr:rowOff>
    </xdr:to>
    <xdr:graphicFrame macro="">
      <xdr:nvGraphicFramePr>
        <xdr:cNvPr id="42" name="Chart 2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213360</xdr:colOff>
      <xdr:row>69</xdr:row>
      <xdr:rowOff>68580</xdr:rowOff>
    </xdr:from>
    <xdr:to>
      <xdr:col>24</xdr:col>
      <xdr:colOff>533400</xdr:colOff>
      <xdr:row>86</xdr:row>
      <xdr:rowOff>60960</xdr:rowOff>
    </xdr:to>
    <xdr:graphicFrame macro="">
      <xdr:nvGraphicFramePr>
        <xdr:cNvPr id="43" name="Chart 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0</xdr:col>
      <xdr:colOff>45720</xdr:colOff>
      <xdr:row>0</xdr:row>
      <xdr:rowOff>68580</xdr:rowOff>
    </xdr:from>
    <xdr:ext cx="2262293" cy="392007"/>
    <xdr:pic>
      <xdr:nvPicPr>
        <xdr:cNvPr id="56" name="Picture 68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262293" cy="39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243417</xdr:colOff>
      <xdr:row>5</xdr:row>
      <xdr:rowOff>148167</xdr:rowOff>
    </xdr:from>
    <xdr:to>
      <xdr:col>24</xdr:col>
      <xdr:colOff>563457</xdr:colOff>
      <xdr:row>22</xdr:row>
      <xdr:rowOff>140547</xdr:rowOff>
    </xdr:to>
    <xdr:graphicFrame macro="">
      <xdr:nvGraphicFramePr>
        <xdr:cNvPr id="44" name="Chart 2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21</xdr:col>
      <xdr:colOff>0</xdr:colOff>
      <xdr:row>23</xdr:row>
      <xdr:rowOff>127000</xdr:rowOff>
    </xdr:from>
    <xdr:ext cx="762838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12403667" y="3778250"/>
          <a:ext cx="7628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Argentina</a:t>
          </a:r>
        </a:p>
      </xdr:txBody>
    </xdr:sp>
    <xdr:clientData/>
  </xdr:oneCellAnchor>
</xdr:wsDr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0.74747</cdr:x>
      <cdr:y>0.88513</cdr:y>
    </cdr:from>
    <cdr:to>
      <cdr:x>0.98634</cdr:x>
      <cdr:y>0.9708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10467" y="253788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0.75426</cdr:x>
      <cdr:y>0.89324</cdr:y>
    </cdr:from>
    <cdr:to>
      <cdr:x>0.99152</cdr:x>
      <cdr:y>0.97863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363383" y="2569634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0.76071</cdr:x>
      <cdr:y>0.89561</cdr:y>
    </cdr:from>
    <cdr:to>
      <cdr:x>0.98853</cdr:x>
      <cdr:y>0.98123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5897A3-06B7-EF55-0662-498687F861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2717" y="2569633"/>
          <a:ext cx="1057965" cy="245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OX_SERVER\Partage\Users\franz\Downloads\55-Inovev-Registrations-World-Makes-Monthly-Achiev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PC-sales-countries-World"/>
      <sheetName val="PC-sales-countries-World-123"/>
      <sheetName val="PC-sales-countries-World-Charts"/>
      <sheetName val="PC-sales-countries-Cumul-World"/>
      <sheetName val="PC-sales-World-Cumul-Charts"/>
      <sheetName val="PC-sales-carmakers-Europe 17"/>
      <sheetName val="PC-sales-carmakers-Europe 29"/>
      <sheetName val="LUV-sales-countries-World"/>
      <sheetName val="LUV-sales-countries-World-123"/>
      <sheetName val="LUV-sales-countries-World-Chart"/>
      <sheetName val="LUV-sales-countries-Cumul-World"/>
      <sheetName val="LUV-sales-World-Cumul-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C6" t="str">
            <v xml:space="preserve"> JANUARY</v>
          </cell>
          <cell r="D6" t="str">
            <v xml:space="preserve"> FEBRUARY</v>
          </cell>
          <cell r="E6" t="str">
            <v xml:space="preserve"> MARCH</v>
          </cell>
          <cell r="F6" t="str">
            <v xml:space="preserve"> APRIL</v>
          </cell>
          <cell r="G6" t="str">
            <v xml:space="preserve"> MAY</v>
          </cell>
          <cell r="H6" t="str">
            <v xml:space="preserve"> JUNE</v>
          </cell>
          <cell r="I6" t="str">
            <v xml:space="preserve"> JULY</v>
          </cell>
          <cell r="J6" t="str">
            <v xml:space="preserve"> AUGUST</v>
          </cell>
          <cell r="K6" t="str">
            <v xml:space="preserve"> SEPTEMBER</v>
          </cell>
          <cell r="L6" t="str">
            <v xml:space="preserve"> OCTOBER</v>
          </cell>
          <cell r="M6" t="str">
            <v xml:space="preserve"> NOVEMBER</v>
          </cell>
          <cell r="N6" t="str">
            <v xml:space="preserve"> DECEMBER</v>
          </cell>
        </row>
        <row r="7">
          <cell r="B7" t="str">
            <v>2017</v>
          </cell>
          <cell r="C7">
            <v>20983</v>
          </cell>
          <cell r="D7">
            <v>33406</v>
          </cell>
          <cell r="E7">
            <v>49969</v>
          </cell>
          <cell r="F7">
            <v>64211</v>
          </cell>
          <cell r="G7">
            <v>80860</v>
          </cell>
          <cell r="H7">
            <v>98319</v>
          </cell>
          <cell r="I7">
            <v>115756</v>
          </cell>
          <cell r="J7">
            <v>134916</v>
          </cell>
          <cell r="K7">
            <v>153618</v>
          </cell>
          <cell r="L7">
            <v>170636</v>
          </cell>
          <cell r="M7">
            <v>186881</v>
          </cell>
          <cell r="N7">
            <v>197952</v>
          </cell>
        </row>
        <row r="8">
          <cell r="B8" t="str">
            <v>2018</v>
          </cell>
          <cell r="C8">
            <v>25184</v>
          </cell>
          <cell r="D8">
            <v>38601</v>
          </cell>
          <cell r="E8">
            <v>54019</v>
          </cell>
          <cell r="F8">
            <v>68786</v>
          </cell>
          <cell r="G8">
            <v>85281</v>
          </cell>
          <cell r="H8">
            <v>98066</v>
          </cell>
          <cell r="I8">
            <v>112542</v>
          </cell>
          <cell r="J8">
            <v>126131</v>
          </cell>
          <cell r="K8">
            <v>136932</v>
          </cell>
          <cell r="L8">
            <v>146837</v>
          </cell>
          <cell r="M8">
            <v>155781</v>
          </cell>
          <cell r="N8">
            <v>161952</v>
          </cell>
        </row>
        <row r="9">
          <cell r="B9" t="str">
            <v>2019</v>
          </cell>
          <cell r="C9">
            <v>13048</v>
          </cell>
          <cell r="D9">
            <v>21921</v>
          </cell>
          <cell r="E9">
            <v>30239</v>
          </cell>
          <cell r="F9">
            <v>39643</v>
          </cell>
          <cell r="G9">
            <v>47519</v>
          </cell>
          <cell r="H9">
            <v>55116</v>
          </cell>
          <cell r="I9">
            <v>64740</v>
          </cell>
          <cell r="J9">
            <v>77053</v>
          </cell>
          <cell r="K9">
            <v>87664</v>
          </cell>
          <cell r="L9">
            <v>96160</v>
          </cell>
          <cell r="M9">
            <v>102918</v>
          </cell>
          <cell r="N9">
            <v>107068</v>
          </cell>
        </row>
        <row r="19">
          <cell r="C19">
            <v>301313</v>
          </cell>
          <cell r="D19">
            <v>607813</v>
          </cell>
          <cell r="E19">
            <v>1054413</v>
          </cell>
          <cell r="F19">
            <v>1416155</v>
          </cell>
          <cell r="G19">
            <v>1760880</v>
          </cell>
          <cell r="H19">
            <v>2100950</v>
          </cell>
          <cell r="I19">
            <v>2393762</v>
          </cell>
          <cell r="J19">
            <v>2704577</v>
          </cell>
          <cell r="K19">
            <v>3071139</v>
          </cell>
          <cell r="L19">
            <v>3422208</v>
          </cell>
          <cell r="M19">
            <v>3790345</v>
          </cell>
          <cell r="N19">
            <v>4160583</v>
          </cell>
        </row>
        <row r="20">
          <cell r="C20">
            <v>353100</v>
          </cell>
          <cell r="D20">
            <v>595145</v>
          </cell>
          <cell r="E20">
            <v>1082834</v>
          </cell>
          <cell r="F20">
            <v>1487017</v>
          </cell>
          <cell r="G20">
            <v>1885309</v>
          </cell>
          <cell r="H20">
            <v>2284797</v>
          </cell>
          <cell r="I20">
            <v>2584368</v>
          </cell>
          <cell r="J20">
            <v>2897856</v>
          </cell>
          <cell r="K20">
            <v>3231440</v>
          </cell>
          <cell r="L20">
            <v>3564727</v>
          </cell>
          <cell r="M20">
            <v>3939061</v>
          </cell>
          <cell r="N20">
            <v>4370800</v>
          </cell>
        </row>
        <row r="21">
          <cell r="C21">
            <v>346189</v>
          </cell>
          <cell r="D21">
            <v>608294</v>
          </cell>
          <cell r="E21">
            <v>1108864</v>
          </cell>
          <cell r="F21">
            <v>1514484</v>
          </cell>
          <cell r="G21">
            <v>1865884</v>
          </cell>
          <cell r="H21">
            <v>2194406</v>
          </cell>
          <cell r="I21">
            <v>2474973</v>
          </cell>
          <cell r="J21">
            <v>2779637</v>
          </cell>
          <cell r="K21">
            <v>3119683</v>
          </cell>
          <cell r="L21">
            <v>3476184</v>
          </cell>
          <cell r="M21">
            <v>3876394</v>
          </cell>
          <cell r="N21">
            <v>4324497</v>
          </cell>
        </row>
        <row r="25">
          <cell r="C25">
            <v>61239</v>
          </cell>
          <cell r="D25">
            <v>128178</v>
          </cell>
          <cell r="E25">
            <v>215435</v>
          </cell>
          <cell r="F25">
            <v>256925</v>
          </cell>
          <cell r="G25">
            <v>310382</v>
          </cell>
          <cell r="H25">
            <v>367272</v>
          </cell>
          <cell r="I25">
            <v>426272</v>
          </cell>
          <cell r="J25">
            <v>491582</v>
          </cell>
          <cell r="K25">
            <v>568777</v>
          </cell>
          <cell r="L25">
            <v>638570</v>
          </cell>
          <cell r="M25">
            <v>707416</v>
          </cell>
          <cell r="N25">
            <v>789778</v>
          </cell>
        </row>
        <row r="26">
          <cell r="C26">
            <v>85660</v>
          </cell>
          <cell r="D26">
            <v>173437</v>
          </cell>
          <cell r="E26">
            <v>282118</v>
          </cell>
          <cell r="F26">
            <v>355111</v>
          </cell>
          <cell r="G26">
            <v>431589</v>
          </cell>
          <cell r="H26">
            <v>512213</v>
          </cell>
          <cell r="I26">
            <v>588710</v>
          </cell>
          <cell r="J26">
            <v>673378</v>
          </cell>
          <cell r="K26">
            <v>769245</v>
          </cell>
          <cell r="L26">
            <v>856392</v>
          </cell>
          <cell r="M26">
            <v>929204</v>
          </cell>
          <cell r="N26">
            <v>1005188</v>
          </cell>
        </row>
        <row r="27">
          <cell r="C27">
            <v>87591</v>
          </cell>
          <cell r="D27">
            <v>175027</v>
          </cell>
          <cell r="E27">
            <v>284057</v>
          </cell>
          <cell r="F27">
            <v>352737</v>
          </cell>
          <cell r="G27">
            <v>421584</v>
          </cell>
          <cell r="H27">
            <v>492355</v>
          </cell>
          <cell r="I27">
            <v>549221</v>
          </cell>
          <cell r="J27">
            <v>601118</v>
          </cell>
          <cell r="K27">
            <v>659537</v>
          </cell>
          <cell r="L27">
            <v>726310</v>
          </cell>
          <cell r="M27">
            <v>788217</v>
          </cell>
          <cell r="N27">
            <v>854839</v>
          </cell>
        </row>
        <row r="34">
          <cell r="C34">
            <v>41560</v>
          </cell>
          <cell r="D34">
            <v>80484</v>
          </cell>
          <cell r="E34">
            <v>128100</v>
          </cell>
          <cell r="F34">
            <v>169799</v>
          </cell>
          <cell r="G34">
            <v>214563</v>
          </cell>
          <cell r="H34">
            <v>258649</v>
          </cell>
          <cell r="I34">
            <v>301793</v>
          </cell>
          <cell r="J34">
            <v>347267</v>
          </cell>
          <cell r="K34">
            <v>390422</v>
          </cell>
          <cell r="L34">
            <v>437164</v>
          </cell>
          <cell r="M34">
            <v>486930</v>
          </cell>
          <cell r="N34">
            <v>546236</v>
          </cell>
        </row>
        <row r="35">
          <cell r="C35">
            <v>41953</v>
          </cell>
          <cell r="D35">
            <v>82365</v>
          </cell>
          <cell r="E35">
            <v>126156</v>
          </cell>
          <cell r="F35">
            <v>166628</v>
          </cell>
          <cell r="G35">
            <v>211498</v>
          </cell>
          <cell r="H35">
            <v>257792</v>
          </cell>
          <cell r="I35">
            <v>299591</v>
          </cell>
          <cell r="J35">
            <v>343006</v>
          </cell>
          <cell r="K35">
            <v>386753</v>
          </cell>
          <cell r="L35">
            <v>433651</v>
          </cell>
          <cell r="M35">
            <v>485900</v>
          </cell>
          <cell r="N35">
            <v>541368</v>
          </cell>
        </row>
        <row r="36">
          <cell r="C36">
            <v>42958</v>
          </cell>
          <cell r="D36">
            <v>85189</v>
          </cell>
          <cell r="E36">
            <v>134631</v>
          </cell>
          <cell r="F36">
            <v>176349</v>
          </cell>
          <cell r="G36">
            <v>218906</v>
          </cell>
          <cell r="H36">
            <v>261392</v>
          </cell>
          <cell r="I36">
            <v>304422</v>
          </cell>
          <cell r="J36">
            <v>349014</v>
          </cell>
          <cell r="K36">
            <v>391721</v>
          </cell>
          <cell r="L36">
            <v>436277</v>
          </cell>
          <cell r="M36">
            <v>490467</v>
          </cell>
          <cell r="N36">
            <v>543133</v>
          </cell>
        </row>
        <row r="43">
          <cell r="B43" t="str">
            <v>2017</v>
          </cell>
          <cell r="C43">
            <v>136551</v>
          </cell>
          <cell r="D43">
            <v>265415</v>
          </cell>
          <cell r="E43">
            <v>483286</v>
          </cell>
          <cell r="F43">
            <v>624666</v>
          </cell>
          <cell r="G43">
            <v>785231</v>
          </cell>
          <cell r="H43">
            <v>970609</v>
          </cell>
          <cell r="I43">
            <v>1114796</v>
          </cell>
          <cell r="J43">
            <v>1231690</v>
          </cell>
          <cell r="K43">
            <v>1413240</v>
          </cell>
          <cell r="L43">
            <v>1573485</v>
          </cell>
          <cell r="M43">
            <v>1740495</v>
          </cell>
          <cell r="N43">
            <v>1903559</v>
          </cell>
        </row>
        <row r="44">
          <cell r="B44" t="str">
            <v>2018</v>
          </cell>
          <cell r="C44">
            <v>145480</v>
          </cell>
          <cell r="D44">
            <v>281879</v>
          </cell>
          <cell r="E44">
            <v>493951</v>
          </cell>
          <cell r="F44">
            <v>648483</v>
          </cell>
          <cell r="G44">
            <v>815762</v>
          </cell>
          <cell r="H44">
            <v>1015406</v>
          </cell>
          <cell r="I44">
            <v>1158895</v>
          </cell>
          <cell r="J44">
            <v>1283188</v>
          </cell>
          <cell r="K44">
            <v>1453354</v>
          </cell>
          <cell r="L44">
            <v>1623821</v>
          </cell>
          <cell r="M44">
            <v>1793752</v>
          </cell>
          <cell r="N44">
            <v>1951091</v>
          </cell>
        </row>
        <row r="45">
          <cell r="B45" t="str">
            <v>2019</v>
          </cell>
          <cell r="C45">
            <v>153090</v>
          </cell>
          <cell r="D45">
            <v>294641</v>
          </cell>
          <cell r="E45">
            <v>509641</v>
          </cell>
          <cell r="F45">
            <v>684269</v>
          </cell>
          <cell r="G45">
            <v>854269</v>
          </cell>
          <cell r="H45">
            <v>1052005</v>
          </cell>
          <cell r="I45">
            <v>1197005</v>
          </cell>
          <cell r="J45">
            <v>1321005</v>
          </cell>
          <cell r="K45">
            <v>1521480</v>
          </cell>
          <cell r="L45">
            <v>1681875</v>
          </cell>
          <cell r="M45">
            <v>1839198</v>
          </cell>
          <cell r="N45">
            <v>2011325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G30"/>
  <sheetViews>
    <sheetView showGridLines="0" tabSelected="1" workbookViewId="0">
      <selection activeCell="A15" sqref="A15"/>
    </sheetView>
  </sheetViews>
  <sheetFormatPr defaultColWidth="10" defaultRowHeight="14.4" x14ac:dyDescent="0.3"/>
  <cols>
    <col min="1" max="1" width="12.88671875" style="4" customWidth="1"/>
    <col min="2" max="2" width="25.88671875" style="4" customWidth="1"/>
    <col min="3" max="3" width="37.5546875" style="4" customWidth="1"/>
    <col min="4" max="4" width="24.88671875" style="4" customWidth="1"/>
    <col min="5" max="5" width="34.88671875" style="5" customWidth="1"/>
    <col min="6" max="16384" width="10" style="4"/>
  </cols>
  <sheetData>
    <row r="4" spans="2:7" ht="15.6" x14ac:dyDescent="0.3">
      <c r="B4" s="14" t="s">
        <v>31</v>
      </c>
      <c r="C4" s="15" t="s">
        <v>135</v>
      </c>
      <c r="D4" s="16"/>
      <c r="E4" s="17"/>
      <c r="F4" s="44"/>
      <c r="G4" s="45"/>
    </row>
    <row r="5" spans="2:7" ht="15.6" x14ac:dyDescent="0.3">
      <c r="B5" s="18"/>
      <c r="C5" s="19"/>
      <c r="D5" s="20"/>
      <c r="E5" s="21"/>
      <c r="F5" s="42"/>
      <c r="G5" s="46"/>
    </row>
    <row r="6" spans="2:7" ht="15.6" x14ac:dyDescent="0.3">
      <c r="B6" s="18"/>
      <c r="C6" s="41" t="s">
        <v>99</v>
      </c>
      <c r="D6" s="20"/>
      <c r="E6" s="41" t="s">
        <v>100</v>
      </c>
      <c r="F6" s="42"/>
      <c r="G6" s="46"/>
    </row>
    <row r="7" spans="2:7" ht="15.6" x14ac:dyDescent="0.3">
      <c r="B7" s="18"/>
      <c r="C7" s="22" t="s">
        <v>65</v>
      </c>
      <c r="D7" s="23"/>
      <c r="E7" s="22" t="s">
        <v>85</v>
      </c>
      <c r="F7" s="42"/>
      <c r="G7" s="46"/>
    </row>
    <row r="8" spans="2:7" ht="15.6" x14ac:dyDescent="0.3">
      <c r="B8" s="18"/>
      <c r="C8" s="22" t="s">
        <v>101</v>
      </c>
      <c r="D8" s="23"/>
      <c r="E8" s="22" t="s">
        <v>97</v>
      </c>
      <c r="F8" s="42"/>
      <c r="G8" s="46"/>
    </row>
    <row r="9" spans="2:7" ht="15.6" x14ac:dyDescent="0.3">
      <c r="B9" s="18"/>
      <c r="C9" s="22" t="s">
        <v>67</v>
      </c>
      <c r="D9" s="23"/>
      <c r="E9" s="87" t="s">
        <v>86</v>
      </c>
      <c r="F9" s="42"/>
      <c r="G9" s="46"/>
    </row>
    <row r="10" spans="2:7" ht="15.6" x14ac:dyDescent="0.3">
      <c r="B10" s="18"/>
      <c r="C10" s="22" t="s">
        <v>160</v>
      </c>
      <c r="D10" s="23"/>
      <c r="E10" s="24" t="s">
        <v>98</v>
      </c>
      <c r="F10" s="42"/>
      <c r="G10" s="46"/>
    </row>
    <row r="11" spans="2:7" ht="15.6" x14ac:dyDescent="0.3">
      <c r="B11" s="18"/>
      <c r="C11" s="22" t="s">
        <v>66</v>
      </c>
      <c r="D11" s="23"/>
      <c r="E11" s="23"/>
      <c r="F11" s="42"/>
      <c r="G11" s="46"/>
    </row>
    <row r="12" spans="2:7" ht="15.6" x14ac:dyDescent="0.3">
      <c r="B12" s="18"/>
      <c r="C12" s="24" t="s">
        <v>102</v>
      </c>
      <c r="D12" s="23"/>
      <c r="E12" s="23"/>
      <c r="F12" s="42"/>
      <c r="G12" s="46"/>
    </row>
    <row r="13" spans="2:7" ht="15.6" x14ac:dyDescent="0.3">
      <c r="B13" s="25"/>
      <c r="C13" s="26"/>
      <c r="D13" s="26"/>
      <c r="E13" s="26"/>
      <c r="F13" s="43"/>
      <c r="G13" s="47"/>
    </row>
    <row r="14" spans="2:7" ht="15.6" x14ac:dyDescent="0.3">
      <c r="B14" s="27"/>
      <c r="C14" s="28"/>
      <c r="D14" s="28"/>
      <c r="E14" s="21"/>
      <c r="F14" s="42"/>
      <c r="G14" s="46"/>
    </row>
    <row r="15" spans="2:7" ht="15.6" x14ac:dyDescent="0.3">
      <c r="B15" s="29" t="s">
        <v>32</v>
      </c>
      <c r="C15" s="30" t="s">
        <v>40</v>
      </c>
      <c r="D15" s="31" t="s">
        <v>33</v>
      </c>
      <c r="E15" s="32" t="s">
        <v>39</v>
      </c>
      <c r="F15" s="42"/>
      <c r="G15" s="46"/>
    </row>
    <row r="16" spans="2:7" ht="15.6" x14ac:dyDescent="0.3">
      <c r="B16" s="29"/>
      <c r="C16" s="33"/>
      <c r="D16" s="34"/>
      <c r="E16" s="32"/>
      <c r="F16" s="42"/>
      <c r="G16" s="46"/>
    </row>
    <row r="17" spans="2:7" ht="15.6" x14ac:dyDescent="0.3">
      <c r="B17" s="29" t="s">
        <v>34</v>
      </c>
      <c r="C17" s="30" t="s">
        <v>285</v>
      </c>
      <c r="D17" s="31" t="s">
        <v>35</v>
      </c>
      <c r="E17" s="32" t="s">
        <v>71</v>
      </c>
      <c r="F17" s="42"/>
      <c r="G17" s="46"/>
    </row>
    <row r="18" spans="2:7" ht="15.6" x14ac:dyDescent="0.3">
      <c r="B18" s="29"/>
      <c r="C18" s="30"/>
      <c r="D18" s="34"/>
      <c r="E18" s="32" t="s">
        <v>138</v>
      </c>
      <c r="F18" s="42"/>
      <c r="G18" s="46"/>
    </row>
    <row r="19" spans="2:7" ht="15.6" x14ac:dyDescent="0.3">
      <c r="B19" s="29" t="s">
        <v>36</v>
      </c>
      <c r="C19" s="30" t="s">
        <v>291</v>
      </c>
      <c r="D19" s="34"/>
      <c r="E19" s="32"/>
      <c r="F19" s="42"/>
      <c r="G19" s="46"/>
    </row>
    <row r="20" spans="2:7" ht="15.6" x14ac:dyDescent="0.3">
      <c r="B20" s="29"/>
      <c r="C20" s="35"/>
      <c r="D20" s="31" t="s">
        <v>37</v>
      </c>
      <c r="E20" s="32" t="s">
        <v>64</v>
      </c>
      <c r="F20" s="42"/>
      <c r="G20" s="46"/>
    </row>
    <row r="21" spans="2:7" ht="15.6" x14ac:dyDescent="0.3">
      <c r="B21" s="29" t="s">
        <v>38</v>
      </c>
      <c r="C21" s="36" t="s">
        <v>292</v>
      </c>
      <c r="D21" s="37"/>
      <c r="E21" s="32"/>
      <c r="F21" s="42"/>
      <c r="G21" s="46"/>
    </row>
    <row r="22" spans="2:7" ht="15.6" x14ac:dyDescent="0.3">
      <c r="B22" s="25"/>
      <c r="C22" s="38"/>
      <c r="D22" s="39"/>
      <c r="E22" s="40"/>
      <c r="F22" s="43"/>
      <c r="G22" s="47"/>
    </row>
    <row r="25" spans="2:7" x14ac:dyDescent="0.3">
      <c r="D25" s="4" t="s">
        <v>0</v>
      </c>
    </row>
    <row r="26" spans="2:7" x14ac:dyDescent="0.3">
      <c r="D26" s="4" t="s">
        <v>0</v>
      </c>
    </row>
    <row r="30" spans="2:7" x14ac:dyDescent="0.3">
      <c r="C30" s="4" t="s">
        <v>0</v>
      </c>
    </row>
  </sheetData>
  <hyperlinks>
    <hyperlink ref="C7" location="'PC-sales-countries-World'!A1" display="PC-sales-countries-World" xr:uid="{00000000-0004-0000-0000-000000000000}"/>
    <hyperlink ref="E7" location="'PC-sales-countries-World-Charts'!A1" display="PC-sales-countries-World-Charts" xr:uid="{00000000-0004-0000-0000-000001000000}"/>
    <hyperlink ref="C9" location="'PC-sales-carmakers-Europe 17'!A1" display="PC-sales-Carmakers-Europe 17 countries" xr:uid="{00000000-0004-0000-0000-000002000000}"/>
    <hyperlink ref="C10" location="'PC-sales-carmakers-Europe 29'!A1" display="PC-sales-Carmakers-Europe 27 countries" xr:uid="{00000000-0004-0000-0000-000003000000}"/>
    <hyperlink ref="C8" location="'PC-sales-countries-Cumul-World'!A1" display="PC-sales-countries-Cumul-World" xr:uid="{00000000-0004-0000-0000-000004000000}"/>
    <hyperlink ref="C11" location="'LUV-sales-countries-World'!A1" display="LUV-sales-countries-World" xr:uid="{00000000-0004-0000-0000-000005000000}"/>
    <hyperlink ref="C12" location="'LUV-sales-countries-Cumul-World'!A1" display="LUV-sales-countries-Cumul-World" xr:uid="{00000000-0004-0000-0000-000006000000}"/>
    <hyperlink ref="E8" location="'PC-sales-World-Cumul-Charts'!A1" display="PC-sales-countries-World-Cumul-Charts" xr:uid="{00000000-0004-0000-0000-000007000000}"/>
    <hyperlink ref="E10" location="'LUV-sales-World-Cumul-Charts'!A1" display="LUV-sales-countries-World-Cumul-Charts" xr:uid="{00000000-0004-0000-0000-000008000000}"/>
    <hyperlink ref="E9" location="'LUV-sales-counties-World-Chart'!A1" display="LUV-sales-countries-World-Charts" xr:uid="{00000000-0004-0000-0000-000009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"/>
  <sheetViews>
    <sheetView showGridLines="0" zoomScale="90" zoomScaleNormal="90" workbookViewId="0">
      <selection activeCell="D5" sqref="D5"/>
    </sheetView>
  </sheetViews>
  <sheetFormatPr defaultColWidth="11.44140625" defaultRowHeight="13.2" x14ac:dyDescent="0.25"/>
  <cols>
    <col min="2" max="36" width="8.6640625" customWidth="1"/>
    <col min="258" max="292" width="8.6640625" customWidth="1"/>
    <col min="514" max="548" width="8.6640625" customWidth="1"/>
    <col min="770" max="804" width="8.6640625" customWidth="1"/>
    <col min="1026" max="1060" width="8.6640625" customWidth="1"/>
    <col min="1282" max="1316" width="8.6640625" customWidth="1"/>
    <col min="1538" max="1572" width="8.6640625" customWidth="1"/>
    <col min="1794" max="1828" width="8.6640625" customWidth="1"/>
    <col min="2050" max="2084" width="8.6640625" customWidth="1"/>
    <col min="2306" max="2340" width="8.6640625" customWidth="1"/>
    <col min="2562" max="2596" width="8.6640625" customWidth="1"/>
    <col min="2818" max="2852" width="8.6640625" customWidth="1"/>
    <col min="3074" max="3108" width="8.6640625" customWidth="1"/>
    <col min="3330" max="3364" width="8.6640625" customWidth="1"/>
    <col min="3586" max="3620" width="8.6640625" customWidth="1"/>
    <col min="3842" max="3876" width="8.6640625" customWidth="1"/>
    <col min="4098" max="4132" width="8.6640625" customWidth="1"/>
    <col min="4354" max="4388" width="8.6640625" customWidth="1"/>
    <col min="4610" max="4644" width="8.6640625" customWidth="1"/>
    <col min="4866" max="4900" width="8.6640625" customWidth="1"/>
    <col min="5122" max="5156" width="8.6640625" customWidth="1"/>
    <col min="5378" max="5412" width="8.6640625" customWidth="1"/>
    <col min="5634" max="5668" width="8.6640625" customWidth="1"/>
    <col min="5890" max="5924" width="8.6640625" customWidth="1"/>
    <col min="6146" max="6180" width="8.6640625" customWidth="1"/>
    <col min="6402" max="6436" width="8.6640625" customWidth="1"/>
    <col min="6658" max="6692" width="8.6640625" customWidth="1"/>
    <col min="6914" max="6948" width="8.6640625" customWidth="1"/>
    <col min="7170" max="7204" width="8.6640625" customWidth="1"/>
    <col min="7426" max="7460" width="8.6640625" customWidth="1"/>
    <col min="7682" max="7716" width="8.6640625" customWidth="1"/>
    <col min="7938" max="7972" width="8.6640625" customWidth="1"/>
    <col min="8194" max="8228" width="8.6640625" customWidth="1"/>
    <col min="8450" max="8484" width="8.6640625" customWidth="1"/>
    <col min="8706" max="8740" width="8.6640625" customWidth="1"/>
    <col min="8962" max="8996" width="8.6640625" customWidth="1"/>
    <col min="9218" max="9252" width="8.6640625" customWidth="1"/>
    <col min="9474" max="9508" width="8.6640625" customWidth="1"/>
    <col min="9730" max="9764" width="8.6640625" customWidth="1"/>
    <col min="9986" max="10020" width="8.6640625" customWidth="1"/>
    <col min="10242" max="10276" width="8.6640625" customWidth="1"/>
    <col min="10498" max="10532" width="8.6640625" customWidth="1"/>
    <col min="10754" max="10788" width="8.6640625" customWidth="1"/>
    <col min="11010" max="11044" width="8.6640625" customWidth="1"/>
    <col min="11266" max="11300" width="8.6640625" customWidth="1"/>
    <col min="11522" max="11556" width="8.6640625" customWidth="1"/>
    <col min="11778" max="11812" width="8.6640625" customWidth="1"/>
    <col min="12034" max="12068" width="8.6640625" customWidth="1"/>
    <col min="12290" max="12324" width="8.6640625" customWidth="1"/>
    <col min="12546" max="12580" width="8.6640625" customWidth="1"/>
    <col min="12802" max="12836" width="8.6640625" customWidth="1"/>
    <col min="13058" max="13092" width="8.6640625" customWidth="1"/>
    <col min="13314" max="13348" width="8.6640625" customWidth="1"/>
    <col min="13570" max="13604" width="8.6640625" customWidth="1"/>
    <col min="13826" max="13860" width="8.6640625" customWidth="1"/>
    <col min="14082" max="14116" width="8.6640625" customWidth="1"/>
    <col min="14338" max="14372" width="8.6640625" customWidth="1"/>
    <col min="14594" max="14628" width="8.6640625" customWidth="1"/>
    <col min="14850" max="14884" width="8.6640625" customWidth="1"/>
    <col min="15106" max="15140" width="8.6640625" customWidth="1"/>
    <col min="15362" max="15396" width="8.6640625" customWidth="1"/>
    <col min="15618" max="15652" width="8.6640625" customWidth="1"/>
    <col min="15874" max="15908" width="8.6640625" customWidth="1"/>
    <col min="16130" max="16164" width="8.6640625" customWidth="1"/>
  </cols>
  <sheetData>
    <row r="5" spans="2:2" x14ac:dyDescent="0.25">
      <c r="B5" s="7" t="s">
        <v>70</v>
      </c>
    </row>
  </sheetData>
  <hyperlinks>
    <hyperlink ref="B5" location="Content!A1" display="Back to content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61"/>
  <sheetViews>
    <sheetView showGridLines="0" workbookViewId="0">
      <selection activeCell="A8" sqref="A8"/>
    </sheetView>
  </sheetViews>
  <sheetFormatPr defaultColWidth="9.109375" defaultRowHeight="13.2" x14ac:dyDescent="0.25"/>
  <cols>
    <col min="1" max="1" width="19.109375" bestFit="1" customWidth="1"/>
    <col min="2" max="2" width="7.5546875" customWidth="1"/>
    <col min="3" max="14" width="12.6640625" customWidth="1"/>
    <col min="15" max="15" width="13" customWidth="1"/>
    <col min="16" max="23" width="25.6640625" bestFit="1" customWidth="1"/>
    <col min="24" max="25" width="25.6640625" customWidth="1"/>
    <col min="26" max="26" width="25.6640625" bestFit="1" customWidth="1"/>
  </cols>
  <sheetData>
    <row r="1" spans="1:21" x14ac:dyDescent="0.25">
      <c r="E1" s="3" t="s">
        <v>0</v>
      </c>
      <c r="F1" s="3" t="s">
        <v>0</v>
      </c>
    </row>
    <row r="2" spans="1:21" x14ac:dyDescent="0.25">
      <c r="E2" s="3" t="s">
        <v>0</v>
      </c>
    </row>
    <row r="3" spans="1:21" x14ac:dyDescent="0.25">
      <c r="E3" s="3" t="s">
        <v>0</v>
      </c>
      <c r="F3" t="s">
        <v>0</v>
      </c>
    </row>
    <row r="4" spans="1:21" x14ac:dyDescent="0.25">
      <c r="A4" s="7" t="s">
        <v>70</v>
      </c>
      <c r="E4" s="3" t="s">
        <v>0</v>
      </c>
    </row>
    <row r="5" spans="1:21" x14ac:dyDescent="0.25">
      <c r="A5" s="7"/>
      <c r="E5" s="3"/>
    </row>
    <row r="6" spans="1:21" x14ac:dyDescent="0.25">
      <c r="A6" s="7"/>
      <c r="E6" s="3"/>
    </row>
    <row r="8" spans="1:21" ht="56.4" x14ac:dyDescent="0.25">
      <c r="A8" s="52" t="s">
        <v>51</v>
      </c>
      <c r="B8" s="75" t="s">
        <v>72</v>
      </c>
      <c r="C8" s="53" t="s">
        <v>73</v>
      </c>
      <c r="D8" s="53" t="s">
        <v>74</v>
      </c>
      <c r="E8" s="53" t="s">
        <v>75</v>
      </c>
      <c r="F8" s="53" t="s">
        <v>76</v>
      </c>
      <c r="G8" s="53" t="s">
        <v>77</v>
      </c>
      <c r="H8" s="53" t="s">
        <v>78</v>
      </c>
      <c r="I8" s="53" t="s">
        <v>79</v>
      </c>
      <c r="J8" s="53" t="s">
        <v>80</v>
      </c>
      <c r="K8" s="53" t="s">
        <v>81</v>
      </c>
      <c r="L8" s="53" t="s">
        <v>82</v>
      </c>
      <c r="M8" s="53" t="s">
        <v>83</v>
      </c>
      <c r="N8" s="53" t="s">
        <v>84</v>
      </c>
      <c r="O8" s="2"/>
    </row>
    <row r="9" spans="1:21" ht="12" customHeight="1" x14ac:dyDescent="0.25">
      <c r="A9" s="54" t="s">
        <v>96</v>
      </c>
      <c r="B9" s="76" t="s">
        <v>254</v>
      </c>
      <c r="C9" s="57">
        <v>11817</v>
      </c>
      <c r="D9" s="57">
        <v>20024</v>
      </c>
      <c r="E9" s="57">
        <v>30480</v>
      </c>
      <c r="F9" s="57">
        <v>39614</v>
      </c>
      <c r="G9" s="57">
        <v>49813</v>
      </c>
      <c r="H9" s="57">
        <v>58607</v>
      </c>
      <c r="I9" s="57">
        <v>70010</v>
      </c>
      <c r="J9" s="57">
        <v>80998</v>
      </c>
      <c r="K9" s="57">
        <v>91495</v>
      </c>
      <c r="L9" s="57">
        <v>100558</v>
      </c>
      <c r="M9" s="57">
        <v>113357</v>
      </c>
      <c r="N9" s="57">
        <v>120027</v>
      </c>
      <c r="O9" s="2" t="s">
        <v>0</v>
      </c>
      <c r="P9" s="2"/>
      <c r="Q9" s="2"/>
      <c r="R9" s="2"/>
    </row>
    <row r="10" spans="1:21" ht="12" customHeight="1" x14ac:dyDescent="0.25">
      <c r="A10" s="54" t="s">
        <v>96</v>
      </c>
      <c r="B10" s="76" t="s">
        <v>273</v>
      </c>
      <c r="C10" s="57">
        <v>12972</v>
      </c>
      <c r="D10" s="57">
        <v>20642</v>
      </c>
      <c r="E10" s="57">
        <v>29891</v>
      </c>
      <c r="F10" s="57">
        <v>40828</v>
      </c>
      <c r="G10" s="57">
        <v>54462</v>
      </c>
      <c r="H10" s="57">
        <v>67149</v>
      </c>
      <c r="I10" s="57">
        <v>80948</v>
      </c>
      <c r="J10" s="57">
        <v>94381</v>
      </c>
      <c r="K10" s="57">
        <v>107507</v>
      </c>
      <c r="L10" s="57">
        <v>121719</v>
      </c>
      <c r="M10" s="57">
        <v>134253</v>
      </c>
      <c r="N10" s="57">
        <v>142518</v>
      </c>
      <c r="O10" s="2"/>
      <c r="P10" s="2"/>
      <c r="Q10" s="2"/>
      <c r="R10" s="2"/>
    </row>
    <row r="11" spans="1:21" ht="12" customHeight="1" x14ac:dyDescent="0.25">
      <c r="A11" s="54" t="s">
        <v>96</v>
      </c>
      <c r="B11" s="76" t="s">
        <v>288</v>
      </c>
      <c r="C11" s="57">
        <v>11101</v>
      </c>
      <c r="D11" s="57">
        <v>18174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"/>
      <c r="P11" s="2"/>
      <c r="Q11" s="2"/>
      <c r="R11" s="2"/>
      <c r="S11" s="3" t="s">
        <v>0</v>
      </c>
      <c r="T11" s="3" t="s">
        <v>0</v>
      </c>
      <c r="U11" s="3" t="s">
        <v>0</v>
      </c>
    </row>
    <row r="12" spans="1:21" ht="12" customHeight="1" x14ac:dyDescent="0.25">
      <c r="A12" s="54" t="s">
        <v>95</v>
      </c>
      <c r="B12" s="76" t="s">
        <v>254</v>
      </c>
      <c r="C12" s="57">
        <v>18259</v>
      </c>
      <c r="D12" s="57">
        <v>39968</v>
      </c>
      <c r="E12" s="57">
        <v>64162</v>
      </c>
      <c r="F12" s="57">
        <v>83798</v>
      </c>
      <c r="G12" s="57">
        <v>105326</v>
      </c>
      <c r="H12" s="57">
        <v>129178</v>
      </c>
      <c r="I12" s="57">
        <v>149242</v>
      </c>
      <c r="J12" s="57">
        <v>171714</v>
      </c>
      <c r="K12" s="57">
        <v>193966</v>
      </c>
      <c r="L12" s="57">
        <v>215413</v>
      </c>
      <c r="M12" s="57">
        <v>236837</v>
      </c>
      <c r="N12" s="57">
        <v>256382</v>
      </c>
      <c r="O12" s="3"/>
      <c r="P12" s="2"/>
      <c r="Q12" s="2"/>
      <c r="R12" s="2"/>
      <c r="S12" s="3"/>
      <c r="T12" s="3"/>
      <c r="U12" s="3"/>
    </row>
    <row r="13" spans="1:21" ht="12" customHeight="1" x14ac:dyDescent="0.25">
      <c r="A13" s="54" t="s">
        <v>95</v>
      </c>
      <c r="B13" s="76" t="s">
        <v>273</v>
      </c>
      <c r="C13" s="57">
        <v>18546</v>
      </c>
      <c r="D13" s="57">
        <v>37296</v>
      </c>
      <c r="E13" s="57">
        <v>59308</v>
      </c>
      <c r="F13" s="57">
        <v>76368</v>
      </c>
      <c r="G13" s="57">
        <v>100192</v>
      </c>
      <c r="H13" s="57">
        <v>129025</v>
      </c>
      <c r="I13" s="57">
        <v>148269</v>
      </c>
      <c r="J13" s="57">
        <v>172300</v>
      </c>
      <c r="K13" s="57">
        <v>196093</v>
      </c>
      <c r="L13" s="57">
        <v>221774</v>
      </c>
      <c r="M13" s="57">
        <v>248546</v>
      </c>
      <c r="N13" s="57">
        <v>274185</v>
      </c>
      <c r="O13" s="3"/>
      <c r="P13" s="2"/>
      <c r="Q13" s="2"/>
      <c r="R13" s="2"/>
    </row>
    <row r="14" spans="1:21" ht="12" customHeight="1" x14ac:dyDescent="0.25">
      <c r="A14" s="54" t="s">
        <v>95</v>
      </c>
      <c r="B14" s="76" t="s">
        <v>288</v>
      </c>
      <c r="C14" s="57">
        <v>23518</v>
      </c>
      <c r="D14" s="57">
        <v>51158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3"/>
      <c r="P14" s="2"/>
      <c r="Q14" s="2"/>
      <c r="R14" s="2"/>
      <c r="S14" s="2" t="s">
        <v>0</v>
      </c>
      <c r="T14" s="2" t="s">
        <v>0</v>
      </c>
      <c r="U14" s="2" t="s">
        <v>0</v>
      </c>
    </row>
    <row r="15" spans="1:21" ht="12" customHeight="1" x14ac:dyDescent="0.25">
      <c r="A15" s="54" t="s">
        <v>94</v>
      </c>
      <c r="B15" s="76" t="s">
        <v>254</v>
      </c>
      <c r="C15" s="57">
        <v>34274</v>
      </c>
      <c r="D15" s="57">
        <v>65960</v>
      </c>
      <c r="E15" s="57">
        <v>105126</v>
      </c>
      <c r="F15" s="57">
        <v>142661</v>
      </c>
      <c r="G15" s="57">
        <v>190242</v>
      </c>
      <c r="H15" s="57">
        <v>234718</v>
      </c>
      <c r="I15" s="57">
        <v>281281</v>
      </c>
      <c r="J15" s="57">
        <v>334945</v>
      </c>
      <c r="K15" s="57">
        <v>385686</v>
      </c>
      <c r="L15" s="57">
        <v>429567</v>
      </c>
      <c r="M15" s="57">
        <v>474795</v>
      </c>
      <c r="N15" s="57">
        <v>527183</v>
      </c>
      <c r="O15" s="3"/>
      <c r="P15" s="2"/>
      <c r="Q15" s="2"/>
      <c r="R15" s="2"/>
      <c r="S15" s="2"/>
      <c r="T15" s="2"/>
      <c r="U15" s="2"/>
    </row>
    <row r="16" spans="1:21" ht="12" customHeight="1" x14ac:dyDescent="0.25">
      <c r="A16" s="54" t="s">
        <v>94</v>
      </c>
      <c r="B16" s="76" t="s">
        <v>273</v>
      </c>
      <c r="C16" s="57">
        <v>38955</v>
      </c>
      <c r="D16" s="57">
        <v>73020</v>
      </c>
      <c r="E16" s="57">
        <v>125755</v>
      </c>
      <c r="F16" s="57">
        <v>168312</v>
      </c>
      <c r="G16" s="57">
        <v>207185</v>
      </c>
      <c r="H16" s="57">
        <v>264842</v>
      </c>
      <c r="I16" s="57">
        <v>313703</v>
      </c>
      <c r="J16" s="57">
        <v>367942</v>
      </c>
      <c r="K16" s="57">
        <v>409689</v>
      </c>
      <c r="L16" s="57">
        <v>474186</v>
      </c>
      <c r="M16" s="57">
        <v>526136</v>
      </c>
      <c r="N16" s="57">
        <v>588032</v>
      </c>
      <c r="O16" s="3"/>
      <c r="P16" s="2"/>
      <c r="Q16" s="2"/>
      <c r="R16" s="2"/>
      <c r="S16" s="2"/>
      <c r="T16" s="2"/>
      <c r="U16" s="2"/>
    </row>
    <row r="17" spans="1:26" ht="12" customHeight="1" x14ac:dyDescent="0.25">
      <c r="A17" s="54" t="s">
        <v>94</v>
      </c>
      <c r="B17" s="76" t="s">
        <v>288</v>
      </c>
      <c r="C17" s="57">
        <v>43092</v>
      </c>
      <c r="D17" s="57">
        <v>87983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5">
      <c r="A18" s="54" t="s">
        <v>93</v>
      </c>
      <c r="B18" s="76" t="s">
        <v>254</v>
      </c>
      <c r="C18" s="57">
        <v>78212</v>
      </c>
      <c r="D18" s="57">
        <v>161107</v>
      </c>
      <c r="E18" s="57">
        <v>280778</v>
      </c>
      <c r="F18" s="57">
        <v>400766</v>
      </c>
      <c r="G18" s="57">
        <v>526835</v>
      </c>
      <c r="H18" s="57">
        <v>632028</v>
      </c>
      <c r="I18" s="57">
        <v>747127</v>
      </c>
      <c r="J18" s="57">
        <v>857199</v>
      </c>
      <c r="K18" s="57">
        <v>966445</v>
      </c>
      <c r="L18" s="57">
        <v>1075158</v>
      </c>
      <c r="M18" s="57">
        <v>1177759</v>
      </c>
      <c r="N18" s="57">
        <v>1245376</v>
      </c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0</v>
      </c>
    </row>
    <row r="19" spans="1:26" ht="12" customHeight="1" x14ac:dyDescent="0.25">
      <c r="A19" s="54" t="s">
        <v>93</v>
      </c>
      <c r="B19" s="76" t="s">
        <v>273</v>
      </c>
      <c r="C19" s="57">
        <v>84384</v>
      </c>
      <c r="D19" s="57">
        <v>174869</v>
      </c>
      <c r="E19" s="57">
        <v>299798</v>
      </c>
      <c r="F19" s="57">
        <v>424250</v>
      </c>
      <c r="G19" s="57">
        <v>558526</v>
      </c>
      <c r="H19" s="57">
        <v>691334</v>
      </c>
      <c r="I19" s="57">
        <v>813215</v>
      </c>
      <c r="J19" s="57">
        <v>942812</v>
      </c>
      <c r="K19" s="57">
        <v>1073647</v>
      </c>
      <c r="L19" s="57">
        <v>1200917</v>
      </c>
      <c r="M19" s="57">
        <v>1321814</v>
      </c>
      <c r="N19" s="57">
        <v>1438156</v>
      </c>
      <c r="O19" s="3"/>
      <c r="P19" s="2"/>
      <c r="Q19" s="2"/>
      <c r="R19" s="2"/>
      <c r="S19" s="2" t="s">
        <v>12</v>
      </c>
    </row>
    <row r="20" spans="1:26" ht="12" customHeight="1" x14ac:dyDescent="0.25">
      <c r="A20" s="54" t="s">
        <v>93</v>
      </c>
      <c r="B20" s="76" t="s">
        <v>288</v>
      </c>
      <c r="C20" s="57">
        <v>97199</v>
      </c>
      <c r="D20" s="57">
        <v>205899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3"/>
      <c r="P20" s="2"/>
      <c r="Q20" s="2"/>
      <c r="R20" s="2"/>
      <c r="S20" s="2"/>
    </row>
    <row r="21" spans="1:26" ht="12" customHeight="1" x14ac:dyDescent="0.25">
      <c r="A21" s="54" t="s">
        <v>92</v>
      </c>
      <c r="B21" s="76" t="s">
        <v>254</v>
      </c>
      <c r="C21" s="57">
        <v>344240</v>
      </c>
      <c r="D21" s="57">
        <v>594097</v>
      </c>
      <c r="E21" s="57">
        <v>963649</v>
      </c>
      <c r="F21" s="57">
        <v>1179432</v>
      </c>
      <c r="G21" s="57">
        <v>1418528</v>
      </c>
      <c r="H21" s="57">
        <v>1699217</v>
      </c>
      <c r="I21" s="57">
        <v>1944950</v>
      </c>
      <c r="J21" s="57">
        <v>2203044</v>
      </c>
      <c r="K21" s="57">
        <v>2481600</v>
      </c>
      <c r="L21" s="57">
        <v>2755086</v>
      </c>
      <c r="M21" s="57">
        <v>3007991</v>
      </c>
      <c r="N21" s="57">
        <v>3300458</v>
      </c>
      <c r="O21" s="3"/>
      <c r="P21" s="2"/>
      <c r="Q21" s="2"/>
      <c r="R21" s="2"/>
      <c r="S21" s="2" t="s">
        <v>0</v>
      </c>
    </row>
    <row r="22" spans="1:26" ht="12" customHeight="1" x14ac:dyDescent="0.25">
      <c r="A22" s="54" t="s">
        <v>92</v>
      </c>
      <c r="B22" s="76" t="s">
        <v>273</v>
      </c>
      <c r="C22" s="57">
        <v>180369</v>
      </c>
      <c r="D22" s="57">
        <v>503878</v>
      </c>
      <c r="E22" s="57">
        <v>937966</v>
      </c>
      <c r="F22" s="57">
        <v>1285591</v>
      </c>
      <c r="G22" s="57">
        <v>1616082</v>
      </c>
      <c r="H22" s="57">
        <v>1970587</v>
      </c>
      <c r="I22" s="57">
        <v>2257670</v>
      </c>
      <c r="J22" s="57">
        <v>2567288</v>
      </c>
      <c r="K22" s="57">
        <v>2938428</v>
      </c>
      <c r="L22" s="57">
        <v>3302945</v>
      </c>
      <c r="M22" s="57">
        <v>3668697</v>
      </c>
      <c r="N22" s="57">
        <v>4030874</v>
      </c>
      <c r="O22" s="3"/>
      <c r="P22" s="2"/>
      <c r="Q22" s="2"/>
      <c r="R22" s="2"/>
      <c r="S22" s="2" t="s">
        <v>0</v>
      </c>
    </row>
    <row r="23" spans="1:26" ht="12" customHeight="1" x14ac:dyDescent="0.25">
      <c r="A23" s="54" t="s">
        <v>92</v>
      </c>
      <c r="B23" s="76" t="s">
        <v>288</v>
      </c>
      <c r="C23" s="57">
        <v>174754</v>
      </c>
      <c r="D23" s="57">
        <v>320101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3"/>
      <c r="P23" s="2" t="s">
        <v>0</v>
      </c>
      <c r="Q23" s="2" t="s">
        <v>0</v>
      </c>
      <c r="R23" s="2"/>
      <c r="S23" s="2" t="s">
        <v>0</v>
      </c>
    </row>
    <row r="24" spans="1:26" ht="12" customHeight="1" x14ac:dyDescent="0.25">
      <c r="A24" s="54" t="s">
        <v>155</v>
      </c>
      <c r="B24" s="76" t="s">
        <v>254</v>
      </c>
      <c r="C24" s="57">
        <v>120628</v>
      </c>
      <c r="D24" s="57">
        <v>247858</v>
      </c>
      <c r="E24" s="57">
        <v>416519</v>
      </c>
      <c r="F24" s="57">
        <v>542411</v>
      </c>
      <c r="G24" s="57">
        <v>678150</v>
      </c>
      <c r="H24" s="57">
        <v>824819</v>
      </c>
      <c r="I24" s="57">
        <v>943903</v>
      </c>
      <c r="J24" s="57">
        <v>1052124</v>
      </c>
      <c r="K24" s="57">
        <v>1197853</v>
      </c>
      <c r="L24" s="57">
        <v>1327243</v>
      </c>
      <c r="M24" s="57">
        <v>1467751</v>
      </c>
      <c r="N24" s="57">
        <v>1616706</v>
      </c>
      <c r="O24" s="3"/>
      <c r="P24" s="2"/>
      <c r="Q24" s="2"/>
      <c r="R24" s="2"/>
      <c r="S24" s="2"/>
    </row>
    <row r="25" spans="1:26" ht="12" customHeight="1" x14ac:dyDescent="0.25">
      <c r="A25" s="54" t="s">
        <v>155</v>
      </c>
      <c r="B25" s="76" t="s">
        <v>273</v>
      </c>
      <c r="C25" s="57">
        <v>152078</v>
      </c>
      <c r="D25" s="57">
        <v>304156</v>
      </c>
      <c r="E25" s="57">
        <v>456234</v>
      </c>
      <c r="F25" s="57">
        <v>614497</v>
      </c>
      <c r="G25" s="57">
        <v>772760</v>
      </c>
      <c r="H25" s="57">
        <v>931023</v>
      </c>
      <c r="I25" s="57">
        <v>1081221</v>
      </c>
      <c r="J25" s="57">
        <v>1231419</v>
      </c>
      <c r="K25" s="57">
        <v>1381617</v>
      </c>
      <c r="L25" s="57">
        <v>1545237</v>
      </c>
      <c r="M25" s="57">
        <v>1708857</v>
      </c>
      <c r="N25" s="57">
        <v>1872477</v>
      </c>
      <c r="O25" s="3"/>
      <c r="P25" s="2" t="s">
        <v>0</v>
      </c>
      <c r="Q25" s="2" t="s">
        <v>12</v>
      </c>
      <c r="R25" s="2"/>
      <c r="S25" s="2"/>
    </row>
    <row r="26" spans="1:26" ht="12" customHeight="1" x14ac:dyDescent="0.25">
      <c r="A26" s="54" t="s">
        <v>155</v>
      </c>
      <c r="B26" s="76" t="s">
        <v>288</v>
      </c>
      <c r="C26" s="57">
        <v>109918</v>
      </c>
      <c r="D26" s="57">
        <v>225393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3"/>
      <c r="P26" s="2" t="s">
        <v>0</v>
      </c>
      <c r="Q26" s="2" t="s">
        <v>0</v>
      </c>
      <c r="R26" s="2"/>
      <c r="S26" s="2"/>
    </row>
    <row r="27" spans="1:26" ht="12" customHeight="1" x14ac:dyDescent="0.25">
      <c r="A27" s="54" t="s">
        <v>91</v>
      </c>
      <c r="B27" s="76" t="s">
        <v>254</v>
      </c>
      <c r="C27" s="57">
        <v>112939</v>
      </c>
      <c r="D27" s="57">
        <v>228074</v>
      </c>
      <c r="E27" s="57">
        <v>348754</v>
      </c>
      <c r="F27" s="57">
        <v>420425</v>
      </c>
      <c r="G27" s="57">
        <v>494998</v>
      </c>
      <c r="H27" s="57">
        <v>573266</v>
      </c>
      <c r="I27" s="57">
        <v>649944</v>
      </c>
      <c r="J27" s="57">
        <v>725444</v>
      </c>
      <c r="K27" s="57">
        <v>804963</v>
      </c>
      <c r="L27" s="57">
        <v>865675</v>
      </c>
      <c r="M27" s="57">
        <v>923178</v>
      </c>
      <c r="N27" s="57">
        <v>971423</v>
      </c>
      <c r="O27" s="2"/>
      <c r="P27" s="2"/>
      <c r="Q27" s="2"/>
      <c r="R27" s="2"/>
      <c r="S27" s="2"/>
    </row>
    <row r="28" spans="1:26" ht="12" customHeight="1" x14ac:dyDescent="0.25">
      <c r="A28" s="54" t="s">
        <v>91</v>
      </c>
      <c r="B28" s="76" t="s">
        <v>273</v>
      </c>
      <c r="C28" s="57">
        <v>94316</v>
      </c>
      <c r="D28" s="57">
        <v>185670</v>
      </c>
      <c r="E28" s="57">
        <v>279158</v>
      </c>
      <c r="F28" s="57">
        <v>388413</v>
      </c>
      <c r="G28" s="57">
        <v>489685</v>
      </c>
      <c r="H28" s="57">
        <v>592173</v>
      </c>
      <c r="I28" s="57">
        <v>717146</v>
      </c>
      <c r="J28" s="57">
        <v>848597</v>
      </c>
      <c r="K28" s="57">
        <v>933334</v>
      </c>
      <c r="L28" s="57">
        <v>1025753</v>
      </c>
      <c r="M28" s="57">
        <v>1103476</v>
      </c>
      <c r="N28" s="57">
        <v>1167778</v>
      </c>
      <c r="O28" s="2"/>
      <c r="P28" s="2"/>
      <c r="Q28" s="2"/>
      <c r="R28" s="2"/>
      <c r="S28" s="2"/>
    </row>
    <row r="29" spans="1:26" ht="12" customHeight="1" x14ac:dyDescent="0.25">
      <c r="A29" s="54" t="s">
        <v>91</v>
      </c>
      <c r="B29" s="76" t="s">
        <v>288</v>
      </c>
      <c r="C29" s="100">
        <v>94000</v>
      </c>
      <c r="D29" s="100">
        <v>188000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2"/>
      <c r="Q29" s="2"/>
      <c r="R29" s="2"/>
      <c r="S29" s="2"/>
    </row>
    <row r="30" spans="1:26" ht="12" customHeight="1" x14ac:dyDescent="0.25">
      <c r="A30" s="54" t="s">
        <v>90</v>
      </c>
      <c r="B30" s="76" t="s">
        <v>254</v>
      </c>
      <c r="C30" s="57">
        <v>57254</v>
      </c>
      <c r="D30" s="57">
        <v>122074</v>
      </c>
      <c r="E30" s="57">
        <v>208543</v>
      </c>
      <c r="F30" s="57">
        <v>263871</v>
      </c>
      <c r="G30" s="57">
        <v>313448</v>
      </c>
      <c r="H30" s="57">
        <v>373267</v>
      </c>
      <c r="I30" s="57">
        <v>434457</v>
      </c>
      <c r="J30" s="57">
        <v>490356</v>
      </c>
      <c r="K30" s="57">
        <v>560618</v>
      </c>
      <c r="L30" s="57">
        <v>623968</v>
      </c>
      <c r="M30" s="57">
        <v>692988</v>
      </c>
      <c r="N30" s="57">
        <v>753023</v>
      </c>
      <c r="O30" s="2"/>
      <c r="P30" s="2" t="s">
        <v>0</v>
      </c>
      <c r="Q30" s="2"/>
      <c r="R30" s="2"/>
      <c r="S30" s="2"/>
    </row>
    <row r="31" spans="1:26" ht="12" customHeight="1" x14ac:dyDescent="0.25">
      <c r="A31" s="54" t="s">
        <v>90</v>
      </c>
      <c r="B31" s="76" t="s">
        <v>273</v>
      </c>
      <c r="C31" s="57">
        <v>62468</v>
      </c>
      <c r="D31" s="57">
        <v>132913</v>
      </c>
      <c r="E31" s="57">
        <v>227464</v>
      </c>
      <c r="F31" s="57">
        <v>287531</v>
      </c>
      <c r="G31" s="57">
        <v>342219</v>
      </c>
      <c r="H31" s="57">
        <v>402905</v>
      </c>
      <c r="I31" s="57">
        <v>460961</v>
      </c>
      <c r="J31" s="57">
        <v>520766</v>
      </c>
      <c r="K31" s="57">
        <v>594860</v>
      </c>
      <c r="L31" s="57">
        <v>658047</v>
      </c>
      <c r="M31" s="57">
        <v>725091</v>
      </c>
      <c r="N31" s="57">
        <v>786359</v>
      </c>
      <c r="O31" s="2"/>
      <c r="P31" s="2"/>
      <c r="Q31" s="2"/>
      <c r="R31" s="2"/>
      <c r="S31" s="2"/>
    </row>
    <row r="32" spans="1:26" ht="12" customHeight="1" x14ac:dyDescent="0.25">
      <c r="A32" s="54" t="s">
        <v>90</v>
      </c>
      <c r="B32" s="76" t="s">
        <v>288</v>
      </c>
      <c r="C32" s="57">
        <v>49124</v>
      </c>
      <c r="D32" s="57">
        <v>94946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2"/>
      <c r="P32" s="2"/>
      <c r="Q32" s="2"/>
      <c r="R32" s="2"/>
      <c r="S32" s="2"/>
    </row>
    <row r="33" spans="1:18" ht="12" customHeight="1" x14ac:dyDescent="0.25">
      <c r="A33" s="54" t="s">
        <v>89</v>
      </c>
      <c r="B33" s="76" t="s">
        <v>254</v>
      </c>
      <c r="C33" s="57">
        <v>18754</v>
      </c>
      <c r="D33" s="57">
        <v>40636</v>
      </c>
      <c r="E33" s="57">
        <v>58134</v>
      </c>
      <c r="F33" s="57">
        <v>80403</v>
      </c>
      <c r="G33" s="57">
        <v>103130</v>
      </c>
      <c r="H33" s="57">
        <v>123301</v>
      </c>
      <c r="I33" s="57">
        <v>147786</v>
      </c>
      <c r="J33" s="57">
        <v>169462</v>
      </c>
      <c r="K33" s="57">
        <v>191840</v>
      </c>
      <c r="L33" s="57">
        <v>216375</v>
      </c>
      <c r="M33" s="57">
        <v>237775</v>
      </c>
      <c r="N33" s="57">
        <v>259125</v>
      </c>
      <c r="O33" s="2"/>
      <c r="P33" s="2"/>
      <c r="Q33" s="2"/>
      <c r="R33" s="2"/>
    </row>
    <row r="34" spans="1:18" ht="12" customHeight="1" x14ac:dyDescent="0.25">
      <c r="A34" s="54" t="s">
        <v>89</v>
      </c>
      <c r="B34" s="76" t="s">
        <v>273</v>
      </c>
      <c r="C34" s="57">
        <v>15429</v>
      </c>
      <c r="D34" s="57">
        <v>42227</v>
      </c>
      <c r="E34" s="57">
        <v>68312</v>
      </c>
      <c r="F34" s="57">
        <v>90319</v>
      </c>
      <c r="G34" s="57">
        <v>111944</v>
      </c>
      <c r="H34" s="57">
        <v>133228</v>
      </c>
      <c r="I34" s="57">
        <v>155324</v>
      </c>
      <c r="J34" s="57">
        <v>172572</v>
      </c>
      <c r="K34" s="57">
        <v>190075</v>
      </c>
      <c r="L34" s="57">
        <v>211711</v>
      </c>
      <c r="M34" s="57">
        <v>234639</v>
      </c>
      <c r="N34" s="57">
        <v>252270</v>
      </c>
      <c r="O34" s="2"/>
      <c r="P34" s="2"/>
      <c r="Q34" s="2"/>
      <c r="R34" s="2"/>
    </row>
    <row r="35" spans="1:18" ht="12" customHeight="1" x14ac:dyDescent="0.25">
      <c r="A35" s="54" t="s">
        <v>89</v>
      </c>
      <c r="B35" s="76" t="s">
        <v>288</v>
      </c>
      <c r="C35" s="57">
        <v>14768</v>
      </c>
      <c r="D35" s="57">
        <v>30431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"/>
      <c r="P35" s="2"/>
      <c r="Q35" s="2"/>
      <c r="R35" s="2"/>
    </row>
    <row r="36" spans="1:18" ht="12" customHeight="1" x14ac:dyDescent="0.25">
      <c r="A36" s="54" t="s">
        <v>88</v>
      </c>
      <c r="B36" s="76" t="s">
        <v>254</v>
      </c>
      <c r="C36" s="57">
        <v>41308</v>
      </c>
      <c r="D36" s="57">
        <v>84052</v>
      </c>
      <c r="E36" s="57">
        <v>135508</v>
      </c>
      <c r="F36" s="57">
        <v>178445</v>
      </c>
      <c r="G36" s="57">
        <v>226301</v>
      </c>
      <c r="H36" s="57">
        <v>275278</v>
      </c>
      <c r="I36" s="57">
        <v>322163</v>
      </c>
      <c r="J36" s="57">
        <v>371852</v>
      </c>
      <c r="K36" s="57">
        <v>419735</v>
      </c>
      <c r="L36" s="57">
        <v>473885</v>
      </c>
      <c r="M36" s="57">
        <v>528856</v>
      </c>
      <c r="N36" s="57">
        <v>599065</v>
      </c>
      <c r="O36" s="2"/>
      <c r="P36" s="2"/>
      <c r="Q36" s="2"/>
      <c r="R36" s="2"/>
    </row>
    <row r="37" spans="1:18" ht="12" customHeight="1" x14ac:dyDescent="0.25">
      <c r="A37" s="54" t="s">
        <v>88</v>
      </c>
      <c r="B37" s="76" t="s">
        <v>273</v>
      </c>
      <c r="C37" s="57">
        <v>53686</v>
      </c>
      <c r="D37" s="57">
        <v>107305</v>
      </c>
      <c r="E37" s="57">
        <v>170965</v>
      </c>
      <c r="F37" s="57">
        <v>228686</v>
      </c>
      <c r="G37" s="57">
        <v>289010</v>
      </c>
      <c r="H37" s="57">
        <v>353672</v>
      </c>
      <c r="I37" s="57">
        <v>416893</v>
      </c>
      <c r="J37" s="57">
        <v>479997</v>
      </c>
      <c r="K37" s="57">
        <v>547566</v>
      </c>
      <c r="L37" s="57">
        <v>612383</v>
      </c>
      <c r="M37" s="57">
        <v>683523</v>
      </c>
      <c r="N37" s="57">
        <v>763342</v>
      </c>
      <c r="O37" s="2"/>
      <c r="P37" s="2"/>
      <c r="Q37" s="2"/>
      <c r="R37" s="2"/>
    </row>
    <row r="38" spans="1:18" ht="12" customHeight="1" x14ac:dyDescent="0.25">
      <c r="A38" s="54" t="s">
        <v>88</v>
      </c>
      <c r="B38" s="76" t="s">
        <v>288</v>
      </c>
      <c r="C38" s="57">
        <v>64123</v>
      </c>
      <c r="D38" s="57">
        <v>129286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2"/>
      <c r="P38" s="2"/>
      <c r="Q38" s="2"/>
      <c r="R38" s="2"/>
    </row>
    <row r="39" spans="1:18" ht="12" customHeight="1" x14ac:dyDescent="0.25">
      <c r="A39" s="54" t="s">
        <v>87</v>
      </c>
      <c r="B39" s="76" t="s">
        <v>254</v>
      </c>
      <c r="C39" s="57">
        <v>9111</v>
      </c>
      <c r="D39" s="57">
        <v>21122</v>
      </c>
      <c r="E39" s="57">
        <v>35216</v>
      </c>
      <c r="F39" s="57">
        <v>49687</v>
      </c>
      <c r="G39" s="57">
        <v>63104</v>
      </c>
      <c r="H39" s="57">
        <v>79622</v>
      </c>
      <c r="I39" s="57">
        <v>90797</v>
      </c>
      <c r="J39" s="57">
        <v>103903</v>
      </c>
      <c r="K39" s="57">
        <v>121306</v>
      </c>
      <c r="L39" s="57">
        <v>139088</v>
      </c>
      <c r="M39" s="57">
        <v>162177</v>
      </c>
      <c r="N39" s="57">
        <v>197349</v>
      </c>
      <c r="O39" s="2"/>
      <c r="P39" s="2"/>
      <c r="Q39" s="2"/>
      <c r="R39" s="2"/>
    </row>
    <row r="40" spans="1:18" ht="12" customHeight="1" x14ac:dyDescent="0.25">
      <c r="A40" s="54" t="s">
        <v>87</v>
      </c>
      <c r="B40" s="76" t="s">
        <v>273</v>
      </c>
      <c r="C40" s="57">
        <v>13606</v>
      </c>
      <c r="D40" s="57">
        <v>35847</v>
      </c>
      <c r="E40" s="57">
        <v>60550</v>
      </c>
      <c r="F40" s="57">
        <v>80831</v>
      </c>
      <c r="G40" s="57">
        <v>104969</v>
      </c>
      <c r="H40" s="57">
        <v>130135</v>
      </c>
      <c r="I40" s="57">
        <v>156678</v>
      </c>
      <c r="J40" s="57">
        <v>177001</v>
      </c>
      <c r="K40" s="57">
        <v>194823</v>
      </c>
      <c r="L40" s="57">
        <v>213579</v>
      </c>
      <c r="M40" s="57">
        <v>237195</v>
      </c>
      <c r="N40" s="57">
        <v>269432</v>
      </c>
      <c r="O40" s="3"/>
      <c r="P40" s="2"/>
      <c r="Q40" s="2"/>
      <c r="R40" s="2"/>
    </row>
    <row r="41" spans="1:18" ht="12" customHeight="1" x14ac:dyDescent="0.25">
      <c r="A41" s="54" t="s">
        <v>87</v>
      </c>
      <c r="B41" s="76" t="s">
        <v>288</v>
      </c>
      <c r="C41" s="57">
        <v>15660</v>
      </c>
      <c r="D41" s="57">
        <v>39373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3"/>
      <c r="P41" s="2"/>
      <c r="Q41" s="2"/>
      <c r="R41" s="2"/>
    </row>
    <row r="42" spans="1:18" ht="12" customHeight="1" x14ac:dyDescent="0.25">
      <c r="A42" s="54" t="s">
        <v>252</v>
      </c>
      <c r="B42" s="76" t="s">
        <v>254</v>
      </c>
      <c r="C42" s="57">
        <v>224125</v>
      </c>
      <c r="D42" s="57">
        <v>484551</v>
      </c>
      <c r="E42" s="57">
        <v>715385</v>
      </c>
      <c r="F42" s="57">
        <v>957603</v>
      </c>
      <c r="G42" s="57">
        <v>1175935</v>
      </c>
      <c r="H42" s="57">
        <v>1407161</v>
      </c>
      <c r="I42" s="57">
        <v>1644839</v>
      </c>
      <c r="J42" s="57">
        <v>1860631</v>
      </c>
      <c r="K42" s="57">
        <v>2009041</v>
      </c>
      <c r="L42" s="57">
        <v>2241552</v>
      </c>
      <c r="M42" s="57">
        <v>2461767</v>
      </c>
      <c r="N42" s="57">
        <v>2733760</v>
      </c>
      <c r="O42" s="3"/>
      <c r="P42" s="2"/>
      <c r="Q42" s="2"/>
      <c r="R42" s="2"/>
    </row>
    <row r="43" spans="1:18" ht="12" customHeight="1" x14ac:dyDescent="0.25">
      <c r="A43" s="54" t="s">
        <v>252</v>
      </c>
      <c r="B43" s="76" t="s">
        <v>273</v>
      </c>
      <c r="C43" s="57">
        <v>207987</v>
      </c>
      <c r="D43" s="57">
        <v>420257</v>
      </c>
      <c r="E43" s="57">
        <v>662633</v>
      </c>
      <c r="F43" s="57">
        <v>911795</v>
      </c>
      <c r="G43" s="57">
        <v>1168265</v>
      </c>
      <c r="H43" s="57">
        <v>1434541</v>
      </c>
      <c r="I43" s="57">
        <v>1674265</v>
      </c>
      <c r="J43" s="57">
        <v>1919200</v>
      </c>
      <c r="K43" s="57">
        <v>2164081</v>
      </c>
      <c r="L43" s="57">
        <v>2374502</v>
      </c>
      <c r="M43" s="57">
        <v>2597353</v>
      </c>
      <c r="N43" s="57">
        <v>2855777</v>
      </c>
      <c r="O43" s="3"/>
      <c r="P43" s="2"/>
      <c r="Q43" s="2"/>
      <c r="R43" s="2"/>
    </row>
    <row r="44" spans="1:18" ht="12" customHeight="1" x14ac:dyDescent="0.25">
      <c r="A44" s="66" t="s">
        <v>252</v>
      </c>
      <c r="B44" s="77" t="s">
        <v>288</v>
      </c>
      <c r="C44" s="65">
        <v>184861</v>
      </c>
      <c r="D44" s="65">
        <v>383645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3"/>
      <c r="P44" s="2"/>
      <c r="Q44" s="2"/>
      <c r="R44" s="2"/>
    </row>
    <row r="45" spans="1:18" ht="12" customHeight="1" x14ac:dyDescent="0.25">
      <c r="A45" s="2"/>
      <c r="B45" s="78"/>
      <c r="C45" s="2"/>
      <c r="D45" s="2"/>
      <c r="E45" s="2"/>
      <c r="F45" s="2"/>
      <c r="G45" s="2" t="s">
        <v>0</v>
      </c>
      <c r="H45" s="2"/>
      <c r="I45" s="2"/>
      <c r="J45" s="2"/>
      <c r="K45" s="2"/>
      <c r="L45" s="2" t="s">
        <v>0</v>
      </c>
      <c r="M45" s="2"/>
      <c r="N45" s="2"/>
      <c r="O45" s="2"/>
      <c r="P45" s="2" t="s">
        <v>0</v>
      </c>
    </row>
    <row r="46" spans="1:18" ht="12" customHeight="1" x14ac:dyDescent="0.25">
      <c r="B46" s="2"/>
      <c r="C46" s="2"/>
      <c r="D46" s="2"/>
      <c r="E46" s="2" t="s">
        <v>0</v>
      </c>
      <c r="F46" s="2" t="s">
        <v>0</v>
      </c>
      <c r="G46" s="2" t="s">
        <v>0</v>
      </c>
      <c r="H46" s="2"/>
      <c r="I46" s="2"/>
      <c r="J46" s="2"/>
      <c r="K46" s="2"/>
      <c r="L46" s="2"/>
      <c r="M46" s="2"/>
      <c r="N46" s="2"/>
      <c r="O46" s="2" t="s">
        <v>0</v>
      </c>
      <c r="P46" s="2" t="s">
        <v>0</v>
      </c>
    </row>
    <row r="47" spans="1:18" ht="12" customHeight="1" x14ac:dyDescent="0.25">
      <c r="A47" s="2"/>
      <c r="B47" s="2"/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/>
      <c r="K47" s="2"/>
      <c r="L47" s="2"/>
      <c r="M47" s="2" t="s">
        <v>0</v>
      </c>
      <c r="N47" s="2"/>
      <c r="P47" s="2" t="s">
        <v>0</v>
      </c>
    </row>
    <row r="48" spans="1:18" ht="12" customHeight="1" x14ac:dyDescent="0.25">
      <c r="A48" s="3" t="s">
        <v>0</v>
      </c>
      <c r="B48" s="2"/>
      <c r="C48" s="2"/>
      <c r="D48" s="2"/>
      <c r="E48" s="2" t="s">
        <v>0</v>
      </c>
      <c r="F48" s="2" t="s">
        <v>0</v>
      </c>
      <c r="G48" s="2"/>
      <c r="H48" s="2"/>
      <c r="I48" s="2" t="s">
        <v>0</v>
      </c>
      <c r="J48" s="2"/>
      <c r="K48" s="2"/>
      <c r="L48" s="2"/>
      <c r="M48" s="2"/>
      <c r="N48" s="2"/>
      <c r="P48" s="2"/>
    </row>
    <row r="49" spans="1:17" ht="12" customHeight="1" x14ac:dyDescent="0.25">
      <c r="A49" t="s">
        <v>0</v>
      </c>
      <c r="B49" s="85" t="s">
        <v>0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P49" s="2" t="s">
        <v>0</v>
      </c>
    </row>
    <row r="50" spans="1:17" ht="12" customHeight="1" x14ac:dyDescent="0.25">
      <c r="B50" s="85"/>
      <c r="P50" s="2" t="s">
        <v>0</v>
      </c>
    </row>
    <row r="51" spans="1:17" ht="12" customHeight="1" x14ac:dyDescent="0.25">
      <c r="P51" s="2"/>
    </row>
    <row r="52" spans="1:17" ht="12" customHeight="1" x14ac:dyDescent="0.25">
      <c r="P52" s="2" t="s">
        <v>0</v>
      </c>
      <c r="Q52" s="3" t="s">
        <v>0</v>
      </c>
    </row>
    <row r="53" spans="1:17" ht="11.1" customHeight="1" x14ac:dyDescent="0.25">
      <c r="P53" s="2" t="s">
        <v>0</v>
      </c>
    </row>
    <row r="54" spans="1:17" ht="11.1" customHeight="1" x14ac:dyDescent="0.25">
      <c r="P54" s="2" t="s">
        <v>0</v>
      </c>
    </row>
    <row r="55" spans="1:17" ht="12" customHeight="1" x14ac:dyDescent="0.25">
      <c r="C55" t="s">
        <v>0</v>
      </c>
      <c r="P55" s="2" t="s">
        <v>0</v>
      </c>
    </row>
    <row r="56" spans="1:17" ht="12" customHeight="1" x14ac:dyDescent="0.25">
      <c r="P56" s="2" t="s">
        <v>0</v>
      </c>
    </row>
    <row r="57" spans="1:17" ht="12" customHeight="1" x14ac:dyDescent="0.25">
      <c r="P57" s="2"/>
    </row>
    <row r="58" spans="1:17" ht="12" customHeight="1" x14ac:dyDescent="0.25"/>
    <row r="59" spans="1:17" ht="12" customHeight="1" x14ac:dyDescent="0.25"/>
    <row r="60" spans="1:17" ht="12" customHeight="1" x14ac:dyDescent="0.25"/>
    <row r="61" spans="1:17" ht="12" customHeight="1" x14ac:dyDescent="0.25"/>
  </sheetData>
  <hyperlinks>
    <hyperlink ref="A4" location="Content!A1" display="Back to content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93"/>
  <sheetViews>
    <sheetView showGridLines="0" zoomScale="90" zoomScaleNormal="90" workbookViewId="0">
      <selection activeCell="D5" sqref="D5"/>
    </sheetView>
  </sheetViews>
  <sheetFormatPr defaultColWidth="11.44140625" defaultRowHeight="13.2" x14ac:dyDescent="0.25"/>
  <cols>
    <col min="2" max="32" width="8.6640625" customWidth="1"/>
  </cols>
  <sheetData>
    <row r="5" spans="2:2" x14ac:dyDescent="0.25">
      <c r="B5" s="7" t="s">
        <v>70</v>
      </c>
    </row>
    <row r="93" spans="13:13" x14ac:dyDescent="0.25">
      <c r="M93" s="3" t="s">
        <v>0</v>
      </c>
    </row>
  </sheetData>
  <hyperlinks>
    <hyperlink ref="B5" location="Content!A1" display="Back to content" xr:uid="{00000000-0004-0000-0B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C202"/>
  <sheetViews>
    <sheetView showGridLines="0" zoomScale="90" zoomScaleNormal="90" workbookViewId="0">
      <selection activeCell="A8" sqref="A8"/>
    </sheetView>
  </sheetViews>
  <sheetFormatPr defaultColWidth="9.109375" defaultRowHeight="13.2" x14ac:dyDescent="0.25"/>
  <cols>
    <col min="1" max="1" width="24.33203125" customWidth="1"/>
    <col min="2" max="3" width="12.6640625" customWidth="1"/>
    <col min="4" max="95" width="11.6640625" customWidth="1"/>
  </cols>
  <sheetData>
    <row r="1" spans="1:86" x14ac:dyDescent="0.25">
      <c r="A1" t="s">
        <v>0</v>
      </c>
      <c r="C1" t="s">
        <v>0</v>
      </c>
      <c r="D1" s="3" t="s">
        <v>0</v>
      </c>
      <c r="E1" s="3" t="s">
        <v>0</v>
      </c>
      <c r="F1" s="3" t="s">
        <v>0</v>
      </c>
      <c r="M1" s="3" t="s">
        <v>0</v>
      </c>
    </row>
    <row r="2" spans="1:86" x14ac:dyDescent="0.25">
      <c r="C2" t="s">
        <v>0</v>
      </c>
      <c r="E2" s="3" t="s">
        <v>0</v>
      </c>
      <c r="F2" s="3" t="s">
        <v>0</v>
      </c>
      <c r="I2" s="1" t="s">
        <v>0</v>
      </c>
      <c r="N2" s="101"/>
      <c r="O2" s="101"/>
      <c r="Q2" s="3" t="s">
        <v>0</v>
      </c>
      <c r="AB2" t="s">
        <v>0</v>
      </c>
    </row>
    <row r="3" spans="1:86" x14ac:dyDescent="0.25">
      <c r="C3" s="3" t="s">
        <v>0</v>
      </c>
      <c r="D3" s="3" t="s">
        <v>0</v>
      </c>
      <c r="E3" s="3" t="s">
        <v>0</v>
      </c>
      <c r="F3" s="3" t="s">
        <v>0</v>
      </c>
      <c r="N3" s="101"/>
      <c r="O3" s="101"/>
      <c r="U3" t="s">
        <v>0</v>
      </c>
      <c r="AA3" t="s">
        <v>0</v>
      </c>
      <c r="AC3" s="3" t="s">
        <v>0</v>
      </c>
      <c r="AD3" s="3" t="s">
        <v>0</v>
      </c>
    </row>
    <row r="4" spans="1:86" x14ac:dyDescent="0.25">
      <c r="D4" s="3" t="s">
        <v>0</v>
      </c>
      <c r="E4" s="11" t="s">
        <v>0</v>
      </c>
      <c r="F4" s="3" t="s">
        <v>0</v>
      </c>
      <c r="G4" s="3" t="s">
        <v>0</v>
      </c>
      <c r="H4" s="3" t="s">
        <v>0</v>
      </c>
      <c r="I4" s="3" t="s">
        <v>0</v>
      </c>
      <c r="N4" s="6"/>
      <c r="O4" s="6"/>
      <c r="AA4" t="s">
        <v>0</v>
      </c>
      <c r="AC4" s="3" t="s">
        <v>0</v>
      </c>
      <c r="AD4" s="3" t="s">
        <v>0</v>
      </c>
      <c r="AJ4" t="s">
        <v>0</v>
      </c>
    </row>
    <row r="5" spans="1:86" x14ac:dyDescent="0.25">
      <c r="A5" s="7" t="s">
        <v>70</v>
      </c>
      <c r="E5" s="3" t="s">
        <v>0</v>
      </c>
      <c r="F5" s="3" t="s">
        <v>0</v>
      </c>
      <c r="G5" s="3" t="s">
        <v>0</v>
      </c>
      <c r="H5" s="3" t="s">
        <v>0</v>
      </c>
      <c r="I5" s="1" t="s">
        <v>0</v>
      </c>
      <c r="J5" s="3" t="s">
        <v>0</v>
      </c>
      <c r="N5" s="101"/>
      <c r="O5" s="101"/>
      <c r="AB5" t="s">
        <v>0</v>
      </c>
    </row>
    <row r="6" spans="1:86" ht="9.9" customHeight="1" x14ac:dyDescent="0.25">
      <c r="J6" t="s">
        <v>0</v>
      </c>
      <c r="N6" s="2"/>
      <c r="O6" s="2"/>
      <c r="Z6" t="s">
        <v>0</v>
      </c>
      <c r="AD6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86" ht="9.75" hidden="1" customHeight="1" x14ac:dyDescent="0.25">
      <c r="F7" t="s">
        <v>0</v>
      </c>
      <c r="N7" s="2"/>
      <c r="O7" s="2"/>
      <c r="P7" s="3" t="s">
        <v>0</v>
      </c>
      <c r="X7" s="3" t="s">
        <v>12</v>
      </c>
      <c r="Z7" t="s">
        <v>0</v>
      </c>
      <c r="AD7" t="s">
        <v>0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86" ht="194.25" customHeight="1" x14ac:dyDescent="0.25">
      <c r="A8" s="52" t="s">
        <v>41</v>
      </c>
      <c r="B8" s="81" t="s">
        <v>293</v>
      </c>
      <c r="C8" s="81" t="s">
        <v>294</v>
      </c>
      <c r="D8" s="81" t="s">
        <v>295</v>
      </c>
      <c r="E8" s="82" t="s">
        <v>30</v>
      </c>
      <c r="F8" s="81" t="s">
        <v>295</v>
      </c>
      <c r="G8" s="82" t="s">
        <v>30</v>
      </c>
      <c r="H8" s="80" t="s">
        <v>272</v>
      </c>
      <c r="I8" s="80" t="s">
        <v>274</v>
      </c>
      <c r="J8" s="80" t="s">
        <v>275</v>
      </c>
      <c r="K8" s="80" t="s">
        <v>276</v>
      </c>
      <c r="L8" s="80" t="s">
        <v>277</v>
      </c>
      <c r="M8" s="80" t="s">
        <v>278</v>
      </c>
      <c r="N8" s="80" t="s">
        <v>279</v>
      </c>
      <c r="O8" s="80" t="s">
        <v>280</v>
      </c>
      <c r="P8" s="80" t="s">
        <v>281</v>
      </c>
      <c r="Q8" s="80" t="s">
        <v>282</v>
      </c>
      <c r="R8" s="80" t="s">
        <v>283</v>
      </c>
      <c r="S8" s="80" t="s">
        <v>284</v>
      </c>
      <c r="T8" s="80" t="s">
        <v>287</v>
      </c>
      <c r="U8" s="80" t="s">
        <v>297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2" customHeight="1" x14ac:dyDescent="0.3">
      <c r="A9" s="54" t="s">
        <v>42</v>
      </c>
      <c r="B9" s="55">
        <v>36745</v>
      </c>
      <c r="C9" s="55">
        <v>37562</v>
      </c>
      <c r="D9" s="55">
        <v>817</v>
      </c>
      <c r="E9" s="56">
        <v>2.2234317594230557E-2</v>
      </c>
      <c r="F9" s="55">
        <v>817</v>
      </c>
      <c r="G9" s="56">
        <v>2.2234317594230557E-2</v>
      </c>
      <c r="H9" s="57">
        <v>18850</v>
      </c>
      <c r="I9" s="57">
        <v>17895</v>
      </c>
      <c r="J9" s="57">
        <v>26307</v>
      </c>
      <c r="K9" s="57">
        <v>18504</v>
      </c>
      <c r="L9" s="57">
        <v>20623</v>
      </c>
      <c r="M9" s="57">
        <v>24511</v>
      </c>
      <c r="N9" s="57">
        <v>17643</v>
      </c>
      <c r="O9" s="57">
        <v>18852</v>
      </c>
      <c r="P9" s="57">
        <v>19701</v>
      </c>
      <c r="Q9" s="57">
        <v>18867</v>
      </c>
      <c r="R9" s="57">
        <v>19010</v>
      </c>
      <c r="S9" s="57">
        <v>18387</v>
      </c>
      <c r="T9" s="57">
        <v>17552</v>
      </c>
      <c r="U9" s="57">
        <v>20010</v>
      </c>
      <c r="AG9" s="12"/>
      <c r="AH9" s="12"/>
      <c r="AI9" s="2"/>
      <c r="AM9" s="2"/>
      <c r="AN9" s="2"/>
      <c r="AO9" s="2"/>
      <c r="AP9" s="2"/>
      <c r="AQ9" s="2"/>
      <c r="AR9" s="2"/>
      <c r="AS9" s="2" t="s">
        <v>12</v>
      </c>
      <c r="AT9" s="2" t="s">
        <v>0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2" customHeight="1" x14ac:dyDescent="0.3">
      <c r="A10" s="54" t="s">
        <v>25</v>
      </c>
      <c r="B10" s="55">
        <v>10210</v>
      </c>
      <c r="C10" s="55">
        <v>9156</v>
      </c>
      <c r="D10" s="55">
        <v>-1054</v>
      </c>
      <c r="E10" s="56">
        <v>-0.10323212536728699</v>
      </c>
      <c r="F10" s="55">
        <v>-1054</v>
      </c>
      <c r="G10" s="56">
        <v>-0.10323212536728699</v>
      </c>
      <c r="H10" s="57">
        <v>5184</v>
      </c>
      <c r="I10" s="57">
        <v>5026</v>
      </c>
      <c r="J10" s="57">
        <v>6589</v>
      </c>
      <c r="K10" s="57">
        <v>6003</v>
      </c>
      <c r="L10" s="57">
        <v>6837</v>
      </c>
      <c r="M10" s="57">
        <v>7075</v>
      </c>
      <c r="N10" s="57">
        <v>6003</v>
      </c>
      <c r="O10" s="57">
        <v>5443</v>
      </c>
      <c r="P10" s="57">
        <v>5381</v>
      </c>
      <c r="Q10" s="57">
        <v>5585</v>
      </c>
      <c r="R10" s="57">
        <v>5547</v>
      </c>
      <c r="S10" s="57">
        <v>4758</v>
      </c>
      <c r="T10" s="57">
        <v>4480</v>
      </c>
      <c r="U10" s="57">
        <v>4676</v>
      </c>
      <c r="AG10" s="12"/>
      <c r="AH10" s="12"/>
      <c r="AI10" s="2"/>
      <c r="AM10" s="2"/>
      <c r="AN10" s="2"/>
      <c r="AO10" s="2"/>
      <c r="AP10" s="2"/>
      <c r="AQ10" s="2"/>
      <c r="AR10" s="2"/>
      <c r="AS10" s="2" t="s">
        <v>0</v>
      </c>
      <c r="AT10" s="2" t="s">
        <v>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2" customHeight="1" x14ac:dyDescent="0.3">
      <c r="A11" s="54" t="s">
        <v>20</v>
      </c>
      <c r="B11" s="55">
        <v>87633</v>
      </c>
      <c r="C11" s="55">
        <v>98749</v>
      </c>
      <c r="D11" s="55">
        <v>11116</v>
      </c>
      <c r="E11" s="56">
        <v>0.12684719226775298</v>
      </c>
      <c r="F11" s="55">
        <v>11116</v>
      </c>
      <c r="G11" s="56">
        <v>0.12684719226775298</v>
      </c>
      <c r="H11" s="57">
        <v>43573</v>
      </c>
      <c r="I11" s="57">
        <v>44060</v>
      </c>
      <c r="J11" s="57">
        <v>57000</v>
      </c>
      <c r="K11" s="57">
        <f>39872+4176</f>
        <v>44048</v>
      </c>
      <c r="L11" s="57">
        <v>45761</v>
      </c>
      <c r="M11" s="57">
        <v>56527</v>
      </c>
      <c r="N11" s="57">
        <v>39196</v>
      </c>
      <c r="O11" s="57">
        <v>39922</v>
      </c>
      <c r="P11" s="57">
        <v>42785</v>
      </c>
      <c r="Q11" s="57">
        <v>42728</v>
      </c>
      <c r="R11" s="57">
        <v>41190</v>
      </c>
      <c r="S11" s="57">
        <v>29063</v>
      </c>
      <c r="T11" s="57">
        <v>50508</v>
      </c>
      <c r="U11" s="57">
        <v>48241</v>
      </c>
      <c r="AG11" s="12"/>
      <c r="AH11" s="12"/>
      <c r="AI11" s="2"/>
      <c r="AM11" s="2"/>
      <c r="AN11" s="2"/>
      <c r="AO11" s="2"/>
      <c r="AP11" s="2"/>
      <c r="AQ11" s="2"/>
      <c r="AR11" s="2"/>
      <c r="AS11" s="2"/>
      <c r="AT11" s="2" t="s">
        <v>0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2" customHeight="1" x14ac:dyDescent="0.3">
      <c r="A12" s="58" t="s">
        <v>27</v>
      </c>
      <c r="B12" s="55">
        <v>5101</v>
      </c>
      <c r="C12" s="55">
        <v>7589</v>
      </c>
      <c r="D12" s="55">
        <v>2488</v>
      </c>
      <c r="E12" s="56">
        <v>0.48774750049009996</v>
      </c>
      <c r="F12" s="55">
        <v>2488</v>
      </c>
      <c r="G12" s="56">
        <v>0.48774750049009996</v>
      </c>
      <c r="H12" s="57">
        <v>2513</v>
      </c>
      <c r="I12" s="57">
        <v>2588</v>
      </c>
      <c r="J12" s="57">
        <v>2755</v>
      </c>
      <c r="K12" s="57">
        <v>2838</v>
      </c>
      <c r="L12" s="57">
        <v>3135</v>
      </c>
      <c r="M12" s="57">
        <v>3804</v>
      </c>
      <c r="N12" s="57">
        <v>3359</v>
      </c>
      <c r="O12" s="57">
        <v>3414</v>
      </c>
      <c r="P12" s="57">
        <v>2976</v>
      </c>
      <c r="Q12" s="57">
        <v>3775</v>
      </c>
      <c r="R12" s="57">
        <v>3541</v>
      </c>
      <c r="S12" s="57">
        <v>3026</v>
      </c>
      <c r="T12" s="57">
        <v>3982</v>
      </c>
      <c r="U12" s="57">
        <v>3607</v>
      </c>
      <c r="AG12" s="12"/>
      <c r="AH12" s="12"/>
      <c r="AI12" s="2"/>
      <c r="AM12" s="2"/>
      <c r="AN12" s="2"/>
      <c r="AO12" s="2"/>
      <c r="AP12" s="2"/>
      <c r="AQ12" s="2"/>
      <c r="AR12" s="2"/>
      <c r="AS12" s="2" t="s">
        <v>0</v>
      </c>
      <c r="AT12" s="2" t="s">
        <v>0</v>
      </c>
      <c r="AU12" s="2" t="s">
        <v>0</v>
      </c>
      <c r="AV12" s="2" t="s">
        <v>0</v>
      </c>
      <c r="AW12" s="2" t="s">
        <v>0</v>
      </c>
      <c r="AX12" s="2" t="s">
        <v>0</v>
      </c>
      <c r="AY12" s="2" t="s">
        <v>0</v>
      </c>
      <c r="AZ12" s="2"/>
      <c r="BA12" s="2"/>
      <c r="BB12" s="2"/>
      <c r="BC12" s="2"/>
      <c r="BD12" s="2"/>
      <c r="BE12" s="2"/>
      <c r="BF12" s="2"/>
      <c r="BG12" s="2"/>
      <c r="BH12" s="2"/>
      <c r="BI12" s="2" t="s">
        <v>0</v>
      </c>
      <c r="BJ12" s="2" t="s">
        <v>0</v>
      </c>
      <c r="BK12" s="2" t="s">
        <v>0</v>
      </c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2" customHeight="1" x14ac:dyDescent="0.3">
      <c r="A13" s="58" t="s">
        <v>139</v>
      </c>
      <c r="B13" s="55">
        <v>6973</v>
      </c>
      <c r="C13" s="55">
        <v>8947</v>
      </c>
      <c r="D13" s="55">
        <v>1974</v>
      </c>
      <c r="E13" s="56">
        <v>0.28309192600028688</v>
      </c>
      <c r="F13" s="55">
        <v>1974</v>
      </c>
      <c r="G13" s="56">
        <v>0.28309192600028688</v>
      </c>
      <c r="H13" s="57">
        <v>3360</v>
      </c>
      <c r="I13" s="57">
        <v>3613</v>
      </c>
      <c r="J13" s="57">
        <v>6274</v>
      </c>
      <c r="K13" s="57">
        <v>6240</v>
      </c>
      <c r="L13" s="57">
        <v>7097</v>
      </c>
      <c r="M13" s="57">
        <v>7215</v>
      </c>
      <c r="N13" s="57">
        <v>5211</v>
      </c>
      <c r="O13" s="57">
        <v>3475</v>
      </c>
      <c r="P13" s="57">
        <v>3683</v>
      </c>
      <c r="Q13" s="57">
        <v>2754</v>
      </c>
      <c r="R13" s="57">
        <v>2885</v>
      </c>
      <c r="S13" s="57">
        <v>3957</v>
      </c>
      <c r="T13" s="57">
        <v>4461</v>
      </c>
      <c r="U13" s="57">
        <v>4486</v>
      </c>
      <c r="AG13" s="12"/>
      <c r="AH13" s="12"/>
      <c r="AI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2" customHeight="1" x14ac:dyDescent="0.3">
      <c r="A14" s="58" t="s">
        <v>140</v>
      </c>
      <c r="B14" s="55">
        <v>2286</v>
      </c>
      <c r="C14" s="55">
        <v>3028</v>
      </c>
      <c r="D14" s="55">
        <v>742</v>
      </c>
      <c r="E14" s="56">
        <v>0.32458442694663159</v>
      </c>
      <c r="F14" s="55">
        <v>742</v>
      </c>
      <c r="G14" s="56">
        <v>0.32458442694663159</v>
      </c>
      <c r="H14" s="57">
        <v>1275</v>
      </c>
      <c r="I14" s="57">
        <v>1011</v>
      </c>
      <c r="J14" s="57">
        <v>1771</v>
      </c>
      <c r="K14" s="57">
        <v>763</v>
      </c>
      <c r="L14" s="57">
        <v>1712</v>
      </c>
      <c r="M14" s="57">
        <v>1110</v>
      </c>
      <c r="N14" s="57">
        <v>1685</v>
      </c>
      <c r="O14" s="57">
        <v>736</v>
      </c>
      <c r="P14" s="57">
        <v>1525</v>
      </c>
      <c r="Q14" s="57">
        <v>1165</v>
      </c>
      <c r="R14" s="57">
        <v>1244</v>
      </c>
      <c r="S14" s="57">
        <v>743</v>
      </c>
      <c r="T14" s="57">
        <v>1527</v>
      </c>
      <c r="U14" s="57">
        <v>1501</v>
      </c>
      <c r="AG14" s="12"/>
      <c r="AH14" s="12"/>
      <c r="AI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2" customHeight="1" x14ac:dyDescent="0.3">
      <c r="A15" s="54" t="s">
        <v>50</v>
      </c>
      <c r="B15" s="55">
        <v>33963</v>
      </c>
      <c r="C15" s="55">
        <v>38689</v>
      </c>
      <c r="D15" s="55">
        <v>4726</v>
      </c>
      <c r="E15" s="56">
        <v>0.13915142949680526</v>
      </c>
      <c r="F15" s="55">
        <v>4726</v>
      </c>
      <c r="G15" s="56">
        <v>0.13915142949680526</v>
      </c>
      <c r="H15" s="57">
        <v>17137</v>
      </c>
      <c r="I15" s="57">
        <v>16826</v>
      </c>
      <c r="J15" s="57">
        <v>22378</v>
      </c>
      <c r="K15" s="57">
        <v>18429</v>
      </c>
      <c r="L15" s="57">
        <v>20298</v>
      </c>
      <c r="M15" s="57">
        <v>20480</v>
      </c>
      <c r="N15" s="57">
        <v>16090</v>
      </c>
      <c r="O15" s="57">
        <v>18718</v>
      </c>
      <c r="P15" s="57">
        <v>17208</v>
      </c>
      <c r="Q15" s="57">
        <v>19322</v>
      </c>
      <c r="R15" s="57">
        <v>19411</v>
      </c>
      <c r="S15" s="57">
        <v>15125</v>
      </c>
      <c r="T15" s="57">
        <v>20361</v>
      </c>
      <c r="U15" s="57">
        <v>18328</v>
      </c>
      <c r="AG15" s="12"/>
      <c r="AH15" s="12"/>
      <c r="AI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2" customHeight="1" x14ac:dyDescent="0.3">
      <c r="A16" s="54" t="s">
        <v>269</v>
      </c>
      <c r="B16" s="55">
        <v>22000</v>
      </c>
      <c r="C16" s="55">
        <v>20066</v>
      </c>
      <c r="D16" s="55">
        <v>-1934</v>
      </c>
      <c r="E16" s="56">
        <v>-8.7909090909090937E-2</v>
      </c>
      <c r="F16" s="55">
        <v>-1934</v>
      </c>
      <c r="G16" s="56">
        <v>-8.7909090909090937E-2</v>
      </c>
      <c r="H16" s="57">
        <v>10403</v>
      </c>
      <c r="I16" s="57">
        <v>11597</v>
      </c>
      <c r="J16" s="57">
        <v>17957</v>
      </c>
      <c r="K16" s="57">
        <v>12066</v>
      </c>
      <c r="L16" s="57">
        <v>14007</v>
      </c>
      <c r="M16" s="57">
        <v>18304</v>
      </c>
      <c r="N16" s="57">
        <v>11229</v>
      </c>
      <c r="O16" s="57">
        <v>13513</v>
      </c>
      <c r="P16" s="57">
        <v>14948</v>
      </c>
      <c r="Q16" s="57">
        <v>13205</v>
      </c>
      <c r="R16" s="57">
        <v>16351</v>
      </c>
      <c r="S16" s="57">
        <v>19183</v>
      </c>
      <c r="T16" s="57">
        <v>8848</v>
      </c>
      <c r="U16" s="57">
        <v>11218</v>
      </c>
      <c r="AG16" s="12"/>
      <c r="AH16" s="12"/>
      <c r="AI16" s="2"/>
      <c r="AM16" s="2"/>
      <c r="AN16" s="2" t="s">
        <v>0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2" customHeight="1" x14ac:dyDescent="0.3">
      <c r="A17" s="54" t="s">
        <v>270</v>
      </c>
      <c r="B17" s="55">
        <v>13289</v>
      </c>
      <c r="C17" s="55">
        <v>11964</v>
      </c>
      <c r="D17" s="55">
        <v>-1325</v>
      </c>
      <c r="E17" s="56">
        <v>-9.970652419294157E-2</v>
      </c>
      <c r="F17" s="55">
        <v>-1325</v>
      </c>
      <c r="G17" s="56">
        <v>-9.970652419294157E-2</v>
      </c>
      <c r="H17" s="57">
        <v>7175</v>
      </c>
      <c r="I17" s="57">
        <v>6114</v>
      </c>
      <c r="J17" s="57">
        <v>7680</v>
      </c>
      <c r="K17" s="57">
        <v>7304</v>
      </c>
      <c r="L17" s="57">
        <v>9438</v>
      </c>
      <c r="M17" s="57">
        <v>9164</v>
      </c>
      <c r="N17" s="57">
        <v>6399</v>
      </c>
      <c r="O17" s="57">
        <v>7824</v>
      </c>
      <c r="P17" s="57">
        <v>7477</v>
      </c>
      <c r="Q17" s="57">
        <v>6458</v>
      </c>
      <c r="R17" s="57">
        <v>6674</v>
      </c>
      <c r="S17" s="57">
        <v>5801</v>
      </c>
      <c r="T17" s="57">
        <v>6589</v>
      </c>
      <c r="U17" s="57">
        <v>5375</v>
      </c>
      <c r="AG17" s="12"/>
      <c r="AH17" s="12"/>
      <c r="AI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2" customHeight="1" x14ac:dyDescent="0.3">
      <c r="A18" s="54" t="s">
        <v>18</v>
      </c>
      <c r="B18" s="55">
        <v>238175</v>
      </c>
      <c r="C18" s="55">
        <v>264892</v>
      </c>
      <c r="D18" s="55">
        <v>26717</v>
      </c>
      <c r="E18" s="56">
        <v>0.11217382176970725</v>
      </c>
      <c r="F18" s="55">
        <v>26717</v>
      </c>
      <c r="G18" s="56">
        <v>0.11217382176970725</v>
      </c>
      <c r="H18" s="57">
        <v>111976</v>
      </c>
      <c r="I18" s="57">
        <v>126199</v>
      </c>
      <c r="J18" s="57">
        <v>182729</v>
      </c>
      <c r="K18" s="57">
        <v>132510</v>
      </c>
      <c r="L18" s="57">
        <v>145538</v>
      </c>
      <c r="M18" s="57">
        <v>190854</v>
      </c>
      <c r="N18" s="57">
        <v>128948</v>
      </c>
      <c r="O18" s="57">
        <v>113567</v>
      </c>
      <c r="P18" s="57">
        <v>156303</v>
      </c>
      <c r="Q18" s="57">
        <v>152421</v>
      </c>
      <c r="R18" s="57">
        <v>152717</v>
      </c>
      <c r="S18" s="57">
        <v>181010</v>
      </c>
      <c r="T18" s="57">
        <v>122290</v>
      </c>
      <c r="U18" s="57">
        <v>142602</v>
      </c>
      <c r="AG18" s="12"/>
      <c r="AH18" s="12"/>
      <c r="AI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" customHeight="1" x14ac:dyDescent="0.3">
      <c r="A19" s="54" t="s">
        <v>15</v>
      </c>
      <c r="B19" s="55">
        <v>385457</v>
      </c>
      <c r="C19" s="55">
        <v>430941</v>
      </c>
      <c r="D19" s="55">
        <v>45484</v>
      </c>
      <c r="E19" s="56">
        <v>0.11800019197990963</v>
      </c>
      <c r="F19" s="55">
        <v>45484</v>
      </c>
      <c r="G19" s="56">
        <v>0.11800019197990963</v>
      </c>
      <c r="H19" s="57">
        <v>179247</v>
      </c>
      <c r="I19" s="57">
        <v>206210</v>
      </c>
      <c r="J19" s="57">
        <v>281361</v>
      </c>
      <c r="K19" s="57">
        <v>202947</v>
      </c>
      <c r="L19" s="57">
        <v>246966</v>
      </c>
      <c r="M19" s="57">
        <v>280139</v>
      </c>
      <c r="N19" s="57">
        <v>243277</v>
      </c>
      <c r="O19" s="57">
        <v>273417</v>
      </c>
      <c r="P19" s="57">
        <v>224502</v>
      </c>
      <c r="Q19" s="57">
        <v>218959</v>
      </c>
      <c r="R19" s="57">
        <v>245701</v>
      </c>
      <c r="S19" s="57">
        <v>241883</v>
      </c>
      <c r="T19" s="57">
        <v>213553</v>
      </c>
      <c r="U19" s="57">
        <v>217388</v>
      </c>
      <c r="AG19" s="12"/>
      <c r="AH19" s="12"/>
      <c r="AI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" customHeight="1" x14ac:dyDescent="0.3">
      <c r="A20" s="54" t="s">
        <v>44</v>
      </c>
      <c r="B20" s="55">
        <v>20488</v>
      </c>
      <c r="C20" s="55">
        <v>24213</v>
      </c>
      <c r="D20" s="55">
        <v>3725</v>
      </c>
      <c r="E20" s="56">
        <v>0.18181374463100353</v>
      </c>
      <c r="F20" s="55">
        <v>3725</v>
      </c>
      <c r="G20" s="56">
        <v>0.18181374463100353</v>
      </c>
      <c r="H20" s="57">
        <v>10532</v>
      </c>
      <c r="I20" s="57">
        <v>9956</v>
      </c>
      <c r="J20" s="57">
        <v>13284</v>
      </c>
      <c r="K20" s="57">
        <v>10239</v>
      </c>
      <c r="L20" s="57">
        <v>12957</v>
      </c>
      <c r="M20" s="57">
        <v>13394</v>
      </c>
      <c r="N20" s="57">
        <v>12380</v>
      </c>
      <c r="O20" s="57">
        <v>10368</v>
      </c>
      <c r="P20" s="57">
        <v>11400</v>
      </c>
      <c r="Q20" s="57">
        <v>11282</v>
      </c>
      <c r="R20" s="57">
        <v>10452</v>
      </c>
      <c r="S20" s="57">
        <v>8240</v>
      </c>
      <c r="T20" s="57">
        <v>12752</v>
      </c>
      <c r="U20" s="57">
        <v>11461</v>
      </c>
      <c r="AG20" s="12"/>
      <c r="AH20" s="12"/>
      <c r="AI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2" customHeight="1" x14ac:dyDescent="0.3">
      <c r="A21" s="54" t="s">
        <v>22</v>
      </c>
      <c r="B21" s="55">
        <v>18062</v>
      </c>
      <c r="C21" s="55">
        <v>18775</v>
      </c>
      <c r="D21" s="55">
        <v>713</v>
      </c>
      <c r="E21" s="56">
        <v>3.9475141180378648E-2</v>
      </c>
      <c r="F21" s="55">
        <v>713</v>
      </c>
      <c r="G21" s="56">
        <v>3.9475141180378648E-2</v>
      </c>
      <c r="H21" s="57">
        <v>8314</v>
      </c>
      <c r="I21" s="57">
        <v>9748</v>
      </c>
      <c r="J21" s="57">
        <v>11498</v>
      </c>
      <c r="K21" s="57">
        <v>8549</v>
      </c>
      <c r="L21" s="57">
        <v>8998</v>
      </c>
      <c r="M21" s="57">
        <v>9360</v>
      </c>
      <c r="N21" s="57">
        <v>8440</v>
      </c>
      <c r="O21" s="57">
        <v>8951</v>
      </c>
      <c r="P21" s="57">
        <v>9151</v>
      </c>
      <c r="Q21" s="57">
        <v>8404</v>
      </c>
      <c r="R21" s="57">
        <v>8330</v>
      </c>
      <c r="S21" s="57">
        <v>7977</v>
      </c>
      <c r="T21" s="57">
        <v>8040</v>
      </c>
      <c r="U21" s="57">
        <v>10735</v>
      </c>
      <c r="AG21" s="12"/>
      <c r="AH21" s="12"/>
      <c r="AI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2" customHeight="1" x14ac:dyDescent="0.3">
      <c r="A22" s="54" t="s">
        <v>45</v>
      </c>
      <c r="B22" s="55">
        <v>40435</v>
      </c>
      <c r="C22" s="55">
        <v>47877</v>
      </c>
      <c r="D22" s="55">
        <v>7442</v>
      </c>
      <c r="E22" s="56">
        <v>0.18404847285767278</v>
      </c>
      <c r="F22" s="55">
        <v>7442</v>
      </c>
      <c r="G22" s="56">
        <v>0.18404847285767278</v>
      </c>
      <c r="H22" s="57">
        <v>27363</v>
      </c>
      <c r="I22" s="57">
        <v>13072</v>
      </c>
      <c r="J22" s="57">
        <v>17681</v>
      </c>
      <c r="K22" s="57">
        <v>8902</v>
      </c>
      <c r="L22" s="57">
        <v>7524</v>
      </c>
      <c r="M22" s="57">
        <v>3145</v>
      </c>
      <c r="N22" s="57">
        <v>26954</v>
      </c>
      <c r="O22" s="57">
        <v>8088</v>
      </c>
      <c r="P22" s="57">
        <v>5625</v>
      </c>
      <c r="Q22" s="57">
        <v>2137</v>
      </c>
      <c r="R22" s="57">
        <v>1933</v>
      </c>
      <c r="S22" s="57">
        <v>426</v>
      </c>
      <c r="T22" s="57">
        <v>31425</v>
      </c>
      <c r="U22" s="57">
        <v>16452</v>
      </c>
      <c r="AG22" s="12"/>
      <c r="AH22" s="12"/>
      <c r="AI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2" customHeight="1" x14ac:dyDescent="0.3">
      <c r="A23" s="54" t="s">
        <v>16</v>
      </c>
      <c r="B23" s="55">
        <v>258724</v>
      </c>
      <c r="C23" s="55">
        <v>288948</v>
      </c>
      <c r="D23" s="55">
        <v>30224</v>
      </c>
      <c r="E23" s="56">
        <v>0.11681946784990949</v>
      </c>
      <c r="F23" s="55">
        <v>30224</v>
      </c>
      <c r="G23" s="56">
        <v>0.11681946784990949</v>
      </c>
      <c r="H23" s="57">
        <v>128437</v>
      </c>
      <c r="I23" s="57">
        <v>130287</v>
      </c>
      <c r="J23" s="57">
        <v>168343</v>
      </c>
      <c r="K23" s="57">
        <v>125783</v>
      </c>
      <c r="L23" s="57">
        <v>149489</v>
      </c>
      <c r="M23" s="57">
        <v>138411</v>
      </c>
      <c r="N23" s="57">
        <v>120015</v>
      </c>
      <c r="O23" s="57">
        <v>79795</v>
      </c>
      <c r="P23" s="57">
        <v>135443</v>
      </c>
      <c r="Q23" s="57">
        <v>139030</v>
      </c>
      <c r="R23" s="57">
        <v>139228</v>
      </c>
      <c r="S23" s="57">
        <v>112187</v>
      </c>
      <c r="T23" s="57">
        <v>141893</v>
      </c>
      <c r="U23" s="57">
        <v>147055</v>
      </c>
      <c r="AG23" s="12"/>
      <c r="AH23" s="12"/>
      <c r="AI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2" customHeight="1" x14ac:dyDescent="0.3">
      <c r="A24" s="54" t="s">
        <v>46</v>
      </c>
      <c r="B24" s="55">
        <v>60973</v>
      </c>
      <c r="C24" s="55">
        <v>64810</v>
      </c>
      <c r="D24" s="55">
        <v>3837</v>
      </c>
      <c r="E24" s="56">
        <v>6.2929493382316792E-2</v>
      </c>
      <c r="F24" s="55">
        <v>3837</v>
      </c>
      <c r="G24" s="56">
        <v>6.2929493382316792E-2</v>
      </c>
      <c r="H24" s="57">
        <v>32845</v>
      </c>
      <c r="I24" s="57">
        <v>28128</v>
      </c>
      <c r="J24" s="57">
        <v>37452</v>
      </c>
      <c r="K24" s="57">
        <v>29172</v>
      </c>
      <c r="L24" s="57">
        <v>33020</v>
      </c>
      <c r="M24" s="57">
        <v>41978</v>
      </c>
      <c r="N24" s="57">
        <v>26837</v>
      </c>
      <c r="O24" s="57">
        <v>27627</v>
      </c>
      <c r="P24" s="57">
        <v>29902</v>
      </c>
      <c r="Q24" s="57">
        <v>28052</v>
      </c>
      <c r="R24" s="57">
        <v>28208</v>
      </c>
      <c r="S24" s="57">
        <v>26570</v>
      </c>
      <c r="T24" s="57">
        <v>34777</v>
      </c>
      <c r="U24" s="57">
        <v>30033</v>
      </c>
      <c r="AG24" s="12"/>
      <c r="AH24" s="12"/>
      <c r="AI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2" customHeight="1" x14ac:dyDescent="0.3">
      <c r="A25" s="54" t="s">
        <v>271</v>
      </c>
      <c r="B25" s="55">
        <v>9299</v>
      </c>
      <c r="C25" s="55">
        <v>12514</v>
      </c>
      <c r="D25" s="55">
        <v>3215</v>
      </c>
      <c r="E25" s="56">
        <v>0.34573610065598448</v>
      </c>
      <c r="F25" s="55">
        <v>3215</v>
      </c>
      <c r="G25" s="56">
        <v>0.34573610065598448</v>
      </c>
      <c r="H25" s="57">
        <v>1860</v>
      </c>
      <c r="I25" s="57">
        <v>7439</v>
      </c>
      <c r="J25" s="57">
        <v>19366</v>
      </c>
      <c r="K25" s="57">
        <v>8976</v>
      </c>
      <c r="L25" s="57">
        <v>13342</v>
      </c>
      <c r="M25" s="57">
        <v>15566</v>
      </c>
      <c r="N25" s="57">
        <v>7525</v>
      </c>
      <c r="O25" s="57">
        <v>11076</v>
      </c>
      <c r="P25" s="57">
        <v>10349</v>
      </c>
      <c r="Q25" s="57">
        <v>8925</v>
      </c>
      <c r="R25" s="57">
        <v>10348</v>
      </c>
      <c r="S25" s="57">
        <v>12183</v>
      </c>
      <c r="T25" s="57">
        <v>5122</v>
      </c>
      <c r="U25" s="57">
        <v>7392</v>
      </c>
      <c r="AG25" s="12"/>
      <c r="AH25" s="12"/>
      <c r="AI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2" customHeight="1" x14ac:dyDescent="0.3">
      <c r="A26" s="54" t="s">
        <v>21</v>
      </c>
      <c r="B26" s="55">
        <v>73571</v>
      </c>
      <c r="C26" s="55">
        <v>88767</v>
      </c>
      <c r="D26" s="55">
        <v>15196</v>
      </c>
      <c r="E26" s="56">
        <v>0.20654877601228749</v>
      </c>
      <c r="F26" s="55">
        <v>15196</v>
      </c>
      <c r="G26" s="56">
        <v>0.20654877601228749</v>
      </c>
      <c r="H26" s="57">
        <v>35047</v>
      </c>
      <c r="I26" s="57">
        <v>38524</v>
      </c>
      <c r="J26" s="57">
        <v>49461</v>
      </c>
      <c r="K26" s="57">
        <v>35484</v>
      </c>
      <c r="L26" s="57">
        <v>38576</v>
      </c>
      <c r="M26" s="57">
        <v>41581</v>
      </c>
      <c r="N26" s="57">
        <v>36388</v>
      </c>
      <c r="O26" s="57">
        <v>36178</v>
      </c>
      <c r="P26" s="57">
        <v>39078</v>
      </c>
      <c r="Q26" s="57">
        <v>40914</v>
      </c>
      <c r="R26" s="57">
        <v>41686</v>
      </c>
      <c r="S26" s="57">
        <v>42117</v>
      </c>
      <c r="T26" s="57">
        <v>42789</v>
      </c>
      <c r="U26" s="57">
        <v>45978</v>
      </c>
      <c r="AG26" s="12"/>
      <c r="AH26" s="12"/>
      <c r="AI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12" customHeight="1" x14ac:dyDescent="0.3">
      <c r="A27" s="54" t="s">
        <v>47</v>
      </c>
      <c r="B27" s="55">
        <v>30719</v>
      </c>
      <c r="C27" s="55">
        <v>36248</v>
      </c>
      <c r="D27" s="55">
        <v>5529</v>
      </c>
      <c r="E27" s="56">
        <v>0.17998632767993761</v>
      </c>
      <c r="F27" s="55">
        <v>5529</v>
      </c>
      <c r="G27" s="56">
        <v>0.17998632767993761</v>
      </c>
      <c r="H27" s="57">
        <v>14639</v>
      </c>
      <c r="I27" s="57">
        <v>16080</v>
      </c>
      <c r="J27" s="57">
        <v>21472</v>
      </c>
      <c r="K27" s="57">
        <v>16107</v>
      </c>
      <c r="L27" s="57">
        <v>19816</v>
      </c>
      <c r="M27" s="57">
        <v>22041</v>
      </c>
      <c r="N27" s="57">
        <v>16074</v>
      </c>
      <c r="O27" s="57">
        <v>13050</v>
      </c>
      <c r="P27" s="57">
        <v>14077</v>
      </c>
      <c r="Q27" s="57">
        <v>13863</v>
      </c>
      <c r="R27" s="57">
        <v>15769</v>
      </c>
      <c r="S27" s="57">
        <v>16635</v>
      </c>
      <c r="T27" s="57">
        <v>15737</v>
      </c>
      <c r="U27" s="57">
        <v>20511</v>
      </c>
      <c r="AG27" s="12"/>
      <c r="AH27" s="12"/>
      <c r="AI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ht="12" customHeight="1" x14ac:dyDescent="0.3">
      <c r="A28" s="54" t="s">
        <v>26</v>
      </c>
      <c r="B28" s="55">
        <v>24715</v>
      </c>
      <c r="C28" s="55">
        <v>24218</v>
      </c>
      <c r="D28" s="55">
        <v>-497</v>
      </c>
      <c r="E28" s="56">
        <v>-2.0109245397531894E-2</v>
      </c>
      <c r="F28" s="55">
        <v>-497</v>
      </c>
      <c r="G28" s="56">
        <v>-2.0109245397531894E-2</v>
      </c>
      <c r="H28" s="57">
        <v>12134</v>
      </c>
      <c r="I28" s="57">
        <v>12581</v>
      </c>
      <c r="J28" s="57">
        <v>12251</v>
      </c>
      <c r="K28" s="57">
        <v>9865</v>
      </c>
      <c r="L28" s="57">
        <v>13641</v>
      </c>
      <c r="M28" s="57">
        <v>12315</v>
      </c>
      <c r="N28" s="57">
        <v>14488</v>
      </c>
      <c r="O28" s="57">
        <v>11693</v>
      </c>
      <c r="P28" s="57">
        <v>11743</v>
      </c>
      <c r="Q28" s="57">
        <v>11393</v>
      </c>
      <c r="R28" s="57">
        <v>9498</v>
      </c>
      <c r="S28" s="57">
        <v>13009</v>
      </c>
      <c r="T28" s="57">
        <v>12733</v>
      </c>
      <c r="U28" s="57">
        <v>11485</v>
      </c>
      <c r="AG28" s="12"/>
      <c r="AH28" s="12"/>
      <c r="AI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ht="12" customHeight="1" x14ac:dyDescent="0.3">
      <c r="A29" s="54" t="s">
        <v>23</v>
      </c>
      <c r="B29" s="55">
        <v>13303</v>
      </c>
      <c r="C29" s="55">
        <v>15637</v>
      </c>
      <c r="D29" s="55">
        <v>2334</v>
      </c>
      <c r="E29" s="56">
        <v>0.17544914680899049</v>
      </c>
      <c r="F29" s="55">
        <v>2334</v>
      </c>
      <c r="G29" s="56">
        <v>0.17544914680899049</v>
      </c>
      <c r="H29" s="57">
        <v>6680</v>
      </c>
      <c r="I29" s="57">
        <v>6623</v>
      </c>
      <c r="J29" s="57">
        <v>8852</v>
      </c>
      <c r="K29" s="57">
        <v>6892</v>
      </c>
      <c r="L29" s="57">
        <v>8039</v>
      </c>
      <c r="M29" s="57">
        <v>8371</v>
      </c>
      <c r="N29" s="57">
        <v>8001</v>
      </c>
      <c r="O29" s="57">
        <v>7487</v>
      </c>
      <c r="P29" s="57">
        <v>6859</v>
      </c>
      <c r="Q29" s="57">
        <v>7807</v>
      </c>
      <c r="R29" s="57">
        <v>7064</v>
      </c>
      <c r="S29" s="57">
        <v>5328</v>
      </c>
      <c r="T29" s="57">
        <v>7935</v>
      </c>
      <c r="U29" s="57">
        <v>7702</v>
      </c>
      <c r="AG29" s="12"/>
      <c r="AH29" s="12"/>
      <c r="AI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ht="12" customHeight="1" x14ac:dyDescent="0.3">
      <c r="A30" s="54" t="s">
        <v>24</v>
      </c>
      <c r="B30" s="55">
        <v>8195</v>
      </c>
      <c r="C30" s="55">
        <v>8721</v>
      </c>
      <c r="D30" s="55">
        <v>526</v>
      </c>
      <c r="E30" s="56">
        <v>6.4185478950579578E-2</v>
      </c>
      <c r="F30" s="55">
        <v>526</v>
      </c>
      <c r="G30" s="56">
        <v>6.4185478950579578E-2</v>
      </c>
      <c r="H30" s="57">
        <v>4425</v>
      </c>
      <c r="I30" s="57">
        <v>3770</v>
      </c>
      <c r="J30" s="57">
        <v>5255</v>
      </c>
      <c r="K30" s="57">
        <v>4338</v>
      </c>
      <c r="L30" s="57">
        <v>4853</v>
      </c>
      <c r="M30" s="57">
        <v>4669</v>
      </c>
      <c r="N30" s="57">
        <v>3776</v>
      </c>
      <c r="O30" s="57">
        <v>3240</v>
      </c>
      <c r="P30" s="57">
        <v>4051</v>
      </c>
      <c r="Q30" s="57">
        <v>3881</v>
      </c>
      <c r="R30" s="57">
        <v>3860</v>
      </c>
      <c r="S30" s="57">
        <v>2691</v>
      </c>
      <c r="T30" s="57">
        <v>4543</v>
      </c>
      <c r="U30" s="57">
        <v>4178</v>
      </c>
      <c r="AG30" s="12"/>
      <c r="AH30" s="12"/>
      <c r="AI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2" customHeight="1" x14ac:dyDescent="0.3">
      <c r="A31" s="54" t="s">
        <v>19</v>
      </c>
      <c r="B31" s="55">
        <v>138039</v>
      </c>
      <c r="C31" s="55">
        <v>150033</v>
      </c>
      <c r="D31" s="55">
        <v>11994</v>
      </c>
      <c r="E31" s="56">
        <v>8.6888488035989919E-2</v>
      </c>
      <c r="F31" s="55">
        <v>11994</v>
      </c>
      <c r="G31" s="56">
        <v>8.6888488035989919E-2</v>
      </c>
      <c r="H31" s="57">
        <v>64147</v>
      </c>
      <c r="I31" s="57">
        <v>73892</v>
      </c>
      <c r="J31" s="57">
        <v>99524</v>
      </c>
      <c r="K31" s="57">
        <v>74751</v>
      </c>
      <c r="L31" s="57">
        <v>92023</v>
      </c>
      <c r="M31" s="57">
        <v>101084</v>
      </c>
      <c r="N31" s="57">
        <v>81095</v>
      </c>
      <c r="O31" s="57">
        <v>55954</v>
      </c>
      <c r="P31" s="57">
        <v>68800</v>
      </c>
      <c r="Q31" s="57">
        <v>77892</v>
      </c>
      <c r="R31" s="57">
        <v>79074</v>
      </c>
      <c r="S31" s="57">
        <v>81013</v>
      </c>
      <c r="T31" s="57">
        <v>68685</v>
      </c>
      <c r="U31" s="57">
        <v>81348</v>
      </c>
      <c r="AG31" s="12"/>
      <c r="AH31" s="12"/>
      <c r="AI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12" customHeight="1" x14ac:dyDescent="0.3">
      <c r="A32" s="54" t="s">
        <v>48</v>
      </c>
      <c r="B32" s="55">
        <v>33043</v>
      </c>
      <c r="C32" s="55">
        <v>35930</v>
      </c>
      <c r="D32" s="55">
        <v>2887</v>
      </c>
      <c r="E32" s="56">
        <v>8.7371001422388961E-2</v>
      </c>
      <c r="F32" s="55">
        <v>2887</v>
      </c>
      <c r="G32" s="56">
        <v>8.7371001422388961E-2</v>
      </c>
      <c r="H32" s="57">
        <v>14597</v>
      </c>
      <c r="I32" s="57">
        <v>18446</v>
      </c>
      <c r="J32" s="57">
        <v>30261</v>
      </c>
      <c r="K32" s="57">
        <v>20586</v>
      </c>
      <c r="L32" s="57">
        <v>28490</v>
      </c>
      <c r="M32" s="57">
        <v>28283</v>
      </c>
      <c r="N32" s="57">
        <v>17300</v>
      </c>
      <c r="O32" s="57">
        <v>23871</v>
      </c>
      <c r="P32" s="57">
        <v>28135</v>
      </c>
      <c r="Q32" s="57">
        <v>25016</v>
      </c>
      <c r="R32" s="57">
        <v>25406</v>
      </c>
      <c r="S32" s="57">
        <v>29274</v>
      </c>
      <c r="T32" s="57">
        <v>17164</v>
      </c>
      <c r="U32" s="57">
        <v>18766</v>
      </c>
      <c r="AG32" s="12"/>
      <c r="AH32" s="12"/>
      <c r="AI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ht="12" customHeight="1" x14ac:dyDescent="0.3">
      <c r="A33" s="54" t="s">
        <v>49</v>
      </c>
      <c r="B33" s="55">
        <v>33635</v>
      </c>
      <c r="C33" s="55">
        <v>33757</v>
      </c>
      <c r="D33" s="55">
        <v>122</v>
      </c>
      <c r="E33" s="56">
        <v>3.6271740746245396E-3</v>
      </c>
      <c r="F33" s="55">
        <v>122</v>
      </c>
      <c r="G33" s="56">
        <v>3.6271740746245396E-3</v>
      </c>
      <c r="H33" s="57">
        <v>16437</v>
      </c>
      <c r="I33" s="57">
        <v>17198</v>
      </c>
      <c r="J33" s="57">
        <v>25167</v>
      </c>
      <c r="K33" s="57">
        <v>18139</v>
      </c>
      <c r="L33" s="57">
        <v>21597</v>
      </c>
      <c r="M33" s="57">
        <v>25214</v>
      </c>
      <c r="N33" s="57">
        <v>18599</v>
      </c>
      <c r="O33" s="57">
        <v>18977</v>
      </c>
      <c r="P33" s="57">
        <v>21578</v>
      </c>
      <c r="Q33" s="57">
        <v>20355</v>
      </c>
      <c r="R33" s="57">
        <v>22005</v>
      </c>
      <c r="S33" s="57">
        <v>26948</v>
      </c>
      <c r="T33" s="57">
        <v>15236</v>
      </c>
      <c r="U33" s="57">
        <v>18521</v>
      </c>
      <c r="AG33" s="12"/>
      <c r="AH33" s="12"/>
      <c r="AI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" customHeight="1" x14ac:dyDescent="0.3">
      <c r="A34" s="54" t="s">
        <v>17</v>
      </c>
      <c r="B34" s="55">
        <v>206435</v>
      </c>
      <c r="C34" s="55">
        <v>227762</v>
      </c>
      <c r="D34" s="55">
        <v>21327</v>
      </c>
      <c r="E34" s="56">
        <v>0.1033109695545813</v>
      </c>
      <c r="F34" s="55">
        <v>21327</v>
      </c>
      <c r="G34" s="56">
        <v>0.1033109695545813</v>
      </c>
      <c r="H34" s="57">
        <v>131994</v>
      </c>
      <c r="I34" s="57">
        <v>74441</v>
      </c>
      <c r="J34" s="57">
        <v>287825</v>
      </c>
      <c r="K34" s="57">
        <v>132990</v>
      </c>
      <c r="L34" s="57">
        <v>145204</v>
      </c>
      <c r="M34" s="57">
        <v>177266</v>
      </c>
      <c r="N34" s="57">
        <v>143921</v>
      </c>
      <c r="O34" s="57">
        <v>85657</v>
      </c>
      <c r="P34" s="57">
        <v>272610</v>
      </c>
      <c r="Q34" s="57">
        <v>153529</v>
      </c>
      <c r="R34" s="57">
        <v>156525</v>
      </c>
      <c r="S34" s="57">
        <v>141092</v>
      </c>
      <c r="T34" s="57">
        <v>142876</v>
      </c>
      <c r="U34" s="57">
        <v>84886</v>
      </c>
      <c r="AG34" s="12"/>
      <c r="AH34" s="12"/>
      <c r="AI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2" customHeight="1" x14ac:dyDescent="0.3">
      <c r="A35" s="54" t="s">
        <v>1</v>
      </c>
      <c r="B35" s="55">
        <v>96195</v>
      </c>
      <c r="C35" s="55">
        <v>146318</v>
      </c>
      <c r="D35" s="55">
        <v>50123</v>
      </c>
      <c r="E35" s="56">
        <v>0.52105618795155673</v>
      </c>
      <c r="F35" s="55">
        <v>50123</v>
      </c>
      <c r="G35" s="56">
        <v>0.52105618795155673</v>
      </c>
      <c r="H35" s="57">
        <v>37288</v>
      </c>
      <c r="I35" s="57">
        <v>58907</v>
      </c>
      <c r="J35" s="57">
        <v>79226</v>
      </c>
      <c r="K35" s="57">
        <v>77398</v>
      </c>
      <c r="L35" s="57">
        <v>87218</v>
      </c>
      <c r="M35" s="57">
        <v>89833</v>
      </c>
      <c r="N35" s="57">
        <v>85916</v>
      </c>
      <c r="O35" s="57">
        <v>66131</v>
      </c>
      <c r="P35" s="57">
        <v>78971</v>
      </c>
      <c r="Q35" s="57">
        <v>82611</v>
      </c>
      <c r="R35" s="57">
        <v>91424</v>
      </c>
      <c r="S35" s="57">
        <v>126416</v>
      </c>
      <c r="T35" s="57">
        <v>64041</v>
      </c>
      <c r="U35" s="57">
        <v>82277</v>
      </c>
      <c r="AG35" s="12"/>
      <c r="AH35" s="12"/>
      <c r="AI35" s="2"/>
      <c r="AM35" s="2"/>
      <c r="AN35" s="2"/>
      <c r="AO35" s="2"/>
      <c r="AP35" s="2"/>
      <c r="AQ35" s="2"/>
      <c r="AR35" s="2"/>
      <c r="AS35" s="2" t="s">
        <v>0</v>
      </c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" customHeight="1" x14ac:dyDescent="0.3">
      <c r="A36" s="54" t="s">
        <v>296</v>
      </c>
      <c r="B36" s="55">
        <v>114350</v>
      </c>
      <c r="C36" s="55">
        <v>192322</v>
      </c>
      <c r="D36" s="55">
        <v>77972</v>
      </c>
      <c r="E36" s="56">
        <v>0.68187144731088756</v>
      </c>
      <c r="F36" s="55">
        <v>77972</v>
      </c>
      <c r="G36" s="56">
        <v>0.68187144731088756</v>
      </c>
      <c r="H36" s="57">
        <v>52499</v>
      </c>
      <c r="I36" s="57">
        <v>61851</v>
      </c>
      <c r="J36" s="57">
        <v>68414</v>
      </c>
      <c r="K36" s="57">
        <v>74270</v>
      </c>
      <c r="L36" s="57">
        <v>71466</v>
      </c>
      <c r="M36" s="57">
        <v>72279</v>
      </c>
      <c r="N36" s="57">
        <v>72832</v>
      </c>
      <c r="O36" s="57">
        <v>79332</v>
      </c>
      <c r="P36" s="57">
        <v>75735</v>
      </c>
      <c r="Q36" s="57">
        <v>75261</v>
      </c>
      <c r="R36" s="57">
        <v>75261</v>
      </c>
      <c r="S36" s="57">
        <v>75922</v>
      </c>
      <c r="T36" s="57">
        <v>38561</v>
      </c>
      <c r="U36" s="57">
        <v>153761</v>
      </c>
      <c r="AG36" s="12"/>
      <c r="AH36" s="12"/>
      <c r="AI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ht="12" customHeight="1" x14ac:dyDescent="0.3">
      <c r="A37" s="54" t="s">
        <v>3</v>
      </c>
      <c r="B37" s="55">
        <v>6688</v>
      </c>
      <c r="C37" s="55">
        <v>10013</v>
      </c>
      <c r="D37" s="55">
        <v>3325</v>
      </c>
      <c r="E37" s="56">
        <v>0.49715909090909083</v>
      </c>
      <c r="F37" s="55">
        <v>3325</v>
      </c>
      <c r="G37" s="56">
        <v>0.49715909090909083</v>
      </c>
      <c r="H37" s="57">
        <v>2958</v>
      </c>
      <c r="I37" s="57">
        <v>3730</v>
      </c>
      <c r="J37" s="57">
        <v>4511</v>
      </c>
      <c r="K37" s="57">
        <v>5160</v>
      </c>
      <c r="L37" s="57">
        <v>5118</v>
      </c>
      <c r="M37" s="57">
        <v>5581</v>
      </c>
      <c r="N37" s="57">
        <v>5311</v>
      </c>
      <c r="O37" s="57">
        <v>5790</v>
      </c>
      <c r="P37" s="57">
        <v>5693</v>
      </c>
      <c r="Q37" s="57">
        <v>5735</v>
      </c>
      <c r="R37" s="57">
        <v>5385</v>
      </c>
      <c r="S37" s="57">
        <v>5890</v>
      </c>
      <c r="T37" s="57">
        <v>4363</v>
      </c>
      <c r="U37" s="57">
        <v>5650</v>
      </c>
      <c r="AG37" s="12"/>
      <c r="AH37" s="12"/>
      <c r="AI37" s="2"/>
      <c r="AM37" s="2"/>
      <c r="AN37" s="2"/>
      <c r="AO37" s="2"/>
      <c r="AP37" s="2"/>
      <c r="AQ37" s="2"/>
      <c r="AR37" s="2"/>
      <c r="AS37" s="2" t="s">
        <v>0</v>
      </c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12" customHeight="1" x14ac:dyDescent="0.3">
      <c r="A38" s="54" t="s">
        <v>4</v>
      </c>
      <c r="B38" s="55">
        <v>676151</v>
      </c>
      <c r="C38" s="55">
        <v>583924</v>
      </c>
      <c r="D38" s="55">
        <v>-92227</v>
      </c>
      <c r="E38" s="56">
        <v>-0.13640000532425445</v>
      </c>
      <c r="F38" s="55">
        <v>-92227</v>
      </c>
      <c r="G38" s="56">
        <v>-0.13640000532425445</v>
      </c>
      <c r="H38" s="57">
        <v>319870</v>
      </c>
      <c r="I38" s="57">
        <v>356281</v>
      </c>
      <c r="J38" s="57">
        <v>477943</v>
      </c>
      <c r="K38" s="57">
        <v>289525</v>
      </c>
      <c r="L38" s="57">
        <v>272042</v>
      </c>
      <c r="M38" s="57">
        <v>332033</v>
      </c>
      <c r="N38" s="57">
        <v>320997</v>
      </c>
      <c r="O38" s="57">
        <v>280537</v>
      </c>
      <c r="P38" s="57">
        <v>363399</v>
      </c>
      <c r="Q38" s="57">
        <v>334485</v>
      </c>
      <c r="R38" s="57">
        <v>344045</v>
      </c>
      <c r="S38" s="57">
        <v>301571</v>
      </c>
      <c r="T38" s="57">
        <v>285429</v>
      </c>
      <c r="U38" s="57">
        <v>298495</v>
      </c>
      <c r="AG38" s="12"/>
      <c r="AH38" s="12"/>
      <c r="AI38" s="2"/>
      <c r="AM38" s="2"/>
      <c r="AN38" s="2"/>
      <c r="AO38" s="2"/>
      <c r="AP38" s="2"/>
      <c r="AQ38" s="2"/>
      <c r="AR38" s="2"/>
      <c r="AS38" s="2" t="s">
        <v>0</v>
      </c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2" customHeight="1" x14ac:dyDescent="0.3">
      <c r="A39" s="54" t="s">
        <v>5</v>
      </c>
      <c r="B39" s="55">
        <v>1807142</v>
      </c>
      <c r="C39" s="55">
        <v>1958896</v>
      </c>
      <c r="D39" s="55">
        <v>151754</v>
      </c>
      <c r="E39" s="56">
        <v>8.3974585284388281E-2</v>
      </c>
      <c r="F39" s="55">
        <v>151754</v>
      </c>
      <c r="G39" s="56">
        <v>8.3974585284388281E-2</v>
      </c>
      <c r="H39" s="57">
        <v>858019</v>
      </c>
      <c r="I39" s="57">
        <v>949123</v>
      </c>
      <c r="J39" s="57">
        <v>1142471</v>
      </c>
      <c r="K39" s="57">
        <v>1107963</v>
      </c>
      <c r="L39" s="57">
        <v>1061993</v>
      </c>
      <c r="M39" s="57">
        <v>1059522</v>
      </c>
      <c r="N39" s="57">
        <v>1139720</v>
      </c>
      <c r="O39" s="57">
        <v>1055779</v>
      </c>
      <c r="P39" s="57">
        <v>855967</v>
      </c>
      <c r="Q39" s="57">
        <v>1000784</v>
      </c>
      <c r="R39" s="57">
        <v>985933</v>
      </c>
      <c r="S39" s="57">
        <v>1464411</v>
      </c>
      <c r="T39" s="57">
        <v>897826</v>
      </c>
      <c r="U39" s="57">
        <v>1061070</v>
      </c>
      <c r="AG39" s="12"/>
      <c r="AH39" s="12"/>
      <c r="AI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2" customHeight="1" x14ac:dyDescent="0.3">
      <c r="A40" s="54" t="s">
        <v>6</v>
      </c>
      <c r="B40" s="55">
        <v>3121261</v>
      </c>
      <c r="C40" s="55">
        <v>3448250</v>
      </c>
      <c r="D40" s="55">
        <v>326989</v>
      </c>
      <c r="E40" s="56">
        <v>0.10476182542888912</v>
      </c>
      <c r="F40" s="55">
        <v>326989</v>
      </c>
      <c r="G40" s="56">
        <v>0.10476182542888912</v>
      </c>
      <c r="H40" s="57">
        <v>1468597</v>
      </c>
      <c r="I40" s="57">
        <v>1652664</v>
      </c>
      <c r="J40" s="57">
        <v>2016942</v>
      </c>
      <c r="K40" s="57">
        <v>1811079</v>
      </c>
      <c r="L40" s="57">
        <v>2051123</v>
      </c>
      <c r="M40" s="57">
        <v>2267821</v>
      </c>
      <c r="N40" s="57">
        <v>2099850</v>
      </c>
      <c r="O40" s="57">
        <v>2272783</v>
      </c>
      <c r="P40" s="57">
        <v>2487274</v>
      </c>
      <c r="Q40" s="57">
        <v>2487873</v>
      </c>
      <c r="R40" s="57">
        <v>2604370</v>
      </c>
      <c r="S40" s="57">
        <v>2842448</v>
      </c>
      <c r="T40" s="57">
        <v>2115435</v>
      </c>
      <c r="U40" s="57">
        <v>1332815</v>
      </c>
      <c r="AG40" s="12"/>
      <c r="AH40" s="12"/>
      <c r="AI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ht="12" customHeight="1" x14ac:dyDescent="0.3">
      <c r="A41" s="54" t="s">
        <v>7</v>
      </c>
      <c r="B41" s="55">
        <v>221277</v>
      </c>
      <c r="C41" s="55">
        <v>201778</v>
      </c>
      <c r="D41" s="55">
        <v>-19499</v>
      </c>
      <c r="E41" s="56">
        <v>-8.8120319780184975E-2</v>
      </c>
      <c r="F41" s="55">
        <v>-19499</v>
      </c>
      <c r="G41" s="56">
        <v>-8.8120319780184975E-2</v>
      </c>
      <c r="H41" s="57">
        <v>101134</v>
      </c>
      <c r="I41" s="57">
        <v>120143</v>
      </c>
      <c r="J41" s="57">
        <v>138508</v>
      </c>
      <c r="K41" s="57">
        <v>127253</v>
      </c>
      <c r="L41" s="57">
        <v>130141</v>
      </c>
      <c r="M41" s="57">
        <v>139534</v>
      </c>
      <c r="N41" s="57">
        <v>113875</v>
      </c>
      <c r="O41" s="57">
        <v>112723</v>
      </c>
      <c r="P41" s="57">
        <v>111705</v>
      </c>
      <c r="Q41" s="57">
        <v>116884</v>
      </c>
      <c r="R41" s="57">
        <v>133986</v>
      </c>
      <c r="S41" s="57">
        <v>124638</v>
      </c>
      <c r="T41" s="57">
        <v>101696</v>
      </c>
      <c r="U41" s="57">
        <v>100082</v>
      </c>
      <c r="AG41" s="12"/>
      <c r="AH41" s="12"/>
      <c r="AI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ht="12" customHeight="1" x14ac:dyDescent="0.3">
      <c r="A42" s="54" t="s">
        <v>8</v>
      </c>
      <c r="B42" s="55">
        <v>199739</v>
      </c>
      <c r="C42" s="55">
        <v>238818</v>
      </c>
      <c r="D42" s="55">
        <v>39079</v>
      </c>
      <c r="E42" s="56">
        <v>0.19565032367239255</v>
      </c>
      <c r="F42" s="55">
        <v>39079</v>
      </c>
      <c r="G42" s="56">
        <v>0.19565032367239255</v>
      </c>
      <c r="H42" s="57">
        <v>103872</v>
      </c>
      <c r="I42" s="57">
        <v>95867</v>
      </c>
      <c r="J42" s="57">
        <v>146174</v>
      </c>
      <c r="K42" s="57">
        <v>118127</v>
      </c>
      <c r="L42" s="57">
        <v>127508</v>
      </c>
      <c r="M42" s="57">
        <v>142218</v>
      </c>
      <c r="N42" s="57">
        <v>176742</v>
      </c>
      <c r="O42" s="57">
        <v>153478</v>
      </c>
      <c r="P42" s="57">
        <v>145766</v>
      </c>
      <c r="Q42" s="57">
        <v>163134</v>
      </c>
      <c r="R42" s="57">
        <v>160693</v>
      </c>
      <c r="S42" s="57">
        <v>186578</v>
      </c>
      <c r="T42" s="57">
        <v>118503</v>
      </c>
      <c r="U42" s="57">
        <v>120315</v>
      </c>
      <c r="AG42" s="12"/>
      <c r="AH42" s="12"/>
      <c r="AI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ht="12" customHeight="1" x14ac:dyDescent="0.3">
      <c r="A43" s="54" t="s">
        <v>9</v>
      </c>
      <c r="B43" s="55">
        <v>590021</v>
      </c>
      <c r="C43" s="55">
        <v>658960</v>
      </c>
      <c r="D43" s="55">
        <v>68939</v>
      </c>
      <c r="E43" s="56">
        <v>0.11684160394291054</v>
      </c>
      <c r="F43" s="55">
        <v>68939</v>
      </c>
      <c r="G43" s="56">
        <v>0.11684160394291054</v>
      </c>
      <c r="H43" s="57">
        <v>298093</v>
      </c>
      <c r="I43" s="57">
        <v>291928</v>
      </c>
      <c r="J43" s="57">
        <v>337158</v>
      </c>
      <c r="K43" s="57">
        <v>284371</v>
      </c>
      <c r="L43" s="57">
        <v>288369</v>
      </c>
      <c r="M43" s="57">
        <v>327265</v>
      </c>
      <c r="N43" s="57">
        <v>302521</v>
      </c>
      <c r="O43" s="57">
        <v>313715</v>
      </c>
      <c r="P43" s="57">
        <v>364809</v>
      </c>
      <c r="Q43" s="57">
        <v>341347</v>
      </c>
      <c r="R43" s="57">
        <v>288062</v>
      </c>
      <c r="S43" s="57">
        <v>281968</v>
      </c>
      <c r="T43" s="57">
        <v>339441</v>
      </c>
      <c r="U43" s="57">
        <v>319519</v>
      </c>
      <c r="AG43" s="12"/>
      <c r="AH43" s="12"/>
      <c r="AI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ht="12" customHeight="1" x14ac:dyDescent="0.3">
      <c r="A44" s="54" t="s">
        <v>10</v>
      </c>
      <c r="B44" s="55">
        <v>29058</v>
      </c>
      <c r="C44" s="55">
        <v>33771</v>
      </c>
      <c r="D44" s="55">
        <v>4713</v>
      </c>
      <c r="E44" s="56">
        <v>0.16219285566797437</v>
      </c>
      <c r="F44" s="55">
        <v>4713</v>
      </c>
      <c r="G44" s="56">
        <v>0.16219285566797437</v>
      </c>
      <c r="H44" s="57">
        <v>14282</v>
      </c>
      <c r="I44" s="57">
        <v>14776</v>
      </c>
      <c r="J44" s="57">
        <v>22828</v>
      </c>
      <c r="K44" s="57">
        <v>20385</v>
      </c>
      <c r="L44" s="57">
        <v>24485</v>
      </c>
      <c r="M44" s="57">
        <v>27322</v>
      </c>
      <c r="N44" s="57">
        <v>22028</v>
      </c>
      <c r="O44" s="57">
        <v>24018</v>
      </c>
      <c r="P44" s="57">
        <v>25687</v>
      </c>
      <c r="Q44" s="57">
        <v>23815</v>
      </c>
      <c r="R44" s="57">
        <v>21582</v>
      </c>
      <c r="S44" s="57">
        <v>21908</v>
      </c>
      <c r="T44" s="57">
        <v>16055</v>
      </c>
      <c r="U44" s="57">
        <v>17716</v>
      </c>
      <c r="AG44" s="12"/>
      <c r="AH44" s="1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ht="12" customHeight="1" x14ac:dyDescent="0.3">
      <c r="A45" s="54" t="s">
        <v>11</v>
      </c>
      <c r="B45" s="55">
        <v>89020</v>
      </c>
      <c r="C45" s="55">
        <v>96071</v>
      </c>
      <c r="D45" s="55">
        <v>7051</v>
      </c>
      <c r="E45" s="56">
        <v>7.9206919793304964E-2</v>
      </c>
      <c r="F45" s="55">
        <v>7051</v>
      </c>
      <c r="G45" s="56">
        <v>7.9206919793304964E-2</v>
      </c>
      <c r="H45" s="57">
        <v>40728</v>
      </c>
      <c r="I45" s="57">
        <v>48292</v>
      </c>
      <c r="J45" s="57">
        <v>55141</v>
      </c>
      <c r="K45" s="57">
        <v>39889</v>
      </c>
      <c r="L45" s="57">
        <v>46474</v>
      </c>
      <c r="M45" s="57">
        <v>48891</v>
      </c>
      <c r="N45" s="57">
        <v>47622</v>
      </c>
      <c r="O45" s="57">
        <v>50769</v>
      </c>
      <c r="P45" s="57">
        <v>50469</v>
      </c>
      <c r="Q45" s="57">
        <v>48855</v>
      </c>
      <c r="R45" s="57">
        <v>57821</v>
      </c>
      <c r="S45" s="57">
        <v>63140</v>
      </c>
      <c r="T45" s="57">
        <v>47976</v>
      </c>
      <c r="U45" s="57">
        <v>48095</v>
      </c>
      <c r="AG45" s="12"/>
      <c r="AH45" s="1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2" customHeight="1" x14ac:dyDescent="0.3">
      <c r="A46" s="54" t="s">
        <v>29</v>
      </c>
      <c r="B46" s="55">
        <v>51571</v>
      </c>
      <c r="C46" s="55">
        <v>37382</v>
      </c>
      <c r="D46" s="55">
        <v>-14189</v>
      </c>
      <c r="E46" s="56">
        <v>-0.27513525043144405</v>
      </c>
      <c r="F46" s="55">
        <v>-14189</v>
      </c>
      <c r="G46" s="56">
        <v>-0.27513525043144405</v>
      </c>
      <c r="H46" s="57">
        <v>32486</v>
      </c>
      <c r="I46" s="57">
        <v>19085</v>
      </c>
      <c r="J46" s="57">
        <v>20973</v>
      </c>
      <c r="K46" s="57">
        <v>21448</v>
      </c>
      <c r="L46" s="57">
        <v>23548</v>
      </c>
      <c r="M46" s="57">
        <v>24579</v>
      </c>
      <c r="N46" s="57">
        <v>27708</v>
      </c>
      <c r="O46" s="57">
        <v>23181</v>
      </c>
      <c r="P46" s="57">
        <v>19154</v>
      </c>
      <c r="Q46" s="57">
        <v>25476</v>
      </c>
      <c r="R46" s="57">
        <v>21760</v>
      </c>
      <c r="S46" s="57">
        <v>9419</v>
      </c>
      <c r="T46" s="57">
        <v>22076</v>
      </c>
      <c r="U46" s="57">
        <v>15306</v>
      </c>
      <c r="AG46" s="12"/>
      <c r="AH46" s="1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2" customHeight="1" x14ac:dyDescent="0.3">
      <c r="A47" s="54" t="s">
        <v>28</v>
      </c>
      <c r="B47" s="55">
        <v>127623</v>
      </c>
      <c r="C47" s="55">
        <v>143647</v>
      </c>
      <c r="D47" s="55">
        <v>16024</v>
      </c>
      <c r="E47" s="56">
        <v>0.12555730550135946</v>
      </c>
      <c r="F47" s="55">
        <v>16024</v>
      </c>
      <c r="G47" s="56">
        <v>0.12555730550135946</v>
      </c>
      <c r="H47" s="57">
        <v>63300</v>
      </c>
      <c r="I47" s="57">
        <v>64323</v>
      </c>
      <c r="J47" s="57">
        <v>70708</v>
      </c>
      <c r="K47" s="57">
        <v>61222</v>
      </c>
      <c r="L47" s="57">
        <v>77131</v>
      </c>
      <c r="M47" s="57">
        <v>89456</v>
      </c>
      <c r="N47" s="57">
        <v>74159</v>
      </c>
      <c r="O47" s="57">
        <v>81649</v>
      </c>
      <c r="P47" s="57">
        <v>82663</v>
      </c>
      <c r="Q47" s="57">
        <v>76875</v>
      </c>
      <c r="R47" s="57">
        <v>80817</v>
      </c>
      <c r="S47" s="57">
        <v>68520</v>
      </c>
      <c r="T47" s="57">
        <v>66264</v>
      </c>
      <c r="U47" s="57">
        <v>77383</v>
      </c>
      <c r="AG47" s="12"/>
      <c r="AH47" s="1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ht="12" customHeight="1" x14ac:dyDescent="0.3">
      <c r="A48" s="59" t="s">
        <v>68</v>
      </c>
      <c r="B48" s="60">
        <v>8941564</v>
      </c>
      <c r="C48" s="60">
        <v>9759943</v>
      </c>
      <c r="D48" s="60">
        <v>818379</v>
      </c>
      <c r="E48" s="62">
        <v>9.1525263365558773E-2</v>
      </c>
      <c r="F48" s="61">
        <v>818379</v>
      </c>
      <c r="G48" s="62">
        <v>9.1525263365558773E-2</v>
      </c>
      <c r="H48" s="60">
        <v>4303270</v>
      </c>
      <c r="I48" s="60">
        <v>4638294</v>
      </c>
      <c r="J48" s="60">
        <v>6001490</v>
      </c>
      <c r="K48" s="60">
        <v>5000515</v>
      </c>
      <c r="L48" s="60">
        <v>5385597</v>
      </c>
      <c r="M48" s="60">
        <v>5888195</v>
      </c>
      <c r="N48" s="60">
        <v>5510114</v>
      </c>
      <c r="O48" s="60">
        <v>5420778</v>
      </c>
      <c r="P48" s="60">
        <v>5832582</v>
      </c>
      <c r="Q48" s="60">
        <v>5820854</v>
      </c>
      <c r="R48" s="60">
        <v>5944796</v>
      </c>
      <c r="S48" s="60">
        <f>SUM(S9:S47)</f>
        <v>6621455</v>
      </c>
      <c r="T48" s="60">
        <v>5133524</v>
      </c>
      <c r="U48" s="60">
        <v>4626419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9.9" customHeight="1" x14ac:dyDescent="0.25">
      <c r="A49" s="2"/>
      <c r="B49" s="2"/>
      <c r="C49" s="2"/>
      <c r="D49" s="2"/>
      <c r="E49" s="2" t="s">
        <v>0</v>
      </c>
      <c r="F49" s="2"/>
      <c r="G49" s="2" t="s">
        <v>0</v>
      </c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Y49" s="2"/>
      <c r="Z49" s="2"/>
      <c r="AA49" s="2"/>
      <c r="AB49" s="2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9.9" customHeight="1" x14ac:dyDescent="0.25">
      <c r="A50" s="2"/>
      <c r="B50" s="2"/>
      <c r="C50" s="2"/>
      <c r="D50" s="2"/>
      <c r="E50" s="2"/>
      <c r="F50" s="2"/>
      <c r="G50" s="2" t="s">
        <v>0</v>
      </c>
      <c r="H50" s="2" t="s">
        <v>0</v>
      </c>
      <c r="I50" s="2"/>
      <c r="J50" s="2"/>
      <c r="K50" s="2"/>
      <c r="L50" s="2"/>
      <c r="M50" s="2"/>
      <c r="N50" s="2"/>
      <c r="O50" s="2"/>
      <c r="P50" s="2" t="s">
        <v>0</v>
      </c>
      <c r="Q50" s="2"/>
      <c r="R50" s="2"/>
      <c r="S50" s="2"/>
      <c r="T50" s="2"/>
      <c r="U50" s="2"/>
      <c r="V50" s="2" t="s">
        <v>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9.9" customHeight="1" x14ac:dyDescent="0.25">
      <c r="A51" s="2"/>
      <c r="B51" s="2" t="s">
        <v>0</v>
      </c>
      <c r="C51" s="2"/>
      <c r="D51" s="2" t="s">
        <v>0</v>
      </c>
      <c r="E51" s="2"/>
      <c r="F51" s="2" t="s">
        <v>0</v>
      </c>
      <c r="G51" s="2"/>
      <c r="H51" s="2"/>
      <c r="I51" s="2"/>
      <c r="J51" s="2"/>
      <c r="K51" s="2"/>
      <c r="L51" s="2"/>
      <c r="M51" s="2" t="s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 t="s">
        <v>0</v>
      </c>
      <c r="Y51" s="2"/>
      <c r="Z51" s="2"/>
      <c r="AA51" s="2"/>
      <c r="AB51" s="2"/>
      <c r="AC51" s="2"/>
      <c r="AD51" s="2" t="s">
        <v>0</v>
      </c>
      <c r="AE51" s="2"/>
      <c r="AF51" s="2"/>
      <c r="AG51" s="2"/>
      <c r="AH51" s="2"/>
      <c r="AI51" s="2"/>
      <c r="AJ51" s="2"/>
      <c r="AK51" s="2"/>
      <c r="AL51" s="2" t="s">
        <v>0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9.9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9.9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9.9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9.9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9.9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9.9" customHeight="1" x14ac:dyDescent="0.25">
      <c r="A57" s="2" t="s">
        <v>69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03.95" customHeight="1" x14ac:dyDescent="0.25">
      <c r="A58" s="52" t="s">
        <v>41</v>
      </c>
      <c r="B58" s="80" t="s">
        <v>253</v>
      </c>
      <c r="C58" s="80" t="s">
        <v>257</v>
      </c>
      <c r="D58" s="80" t="s">
        <v>258</v>
      </c>
      <c r="E58" s="80" t="s">
        <v>259</v>
      </c>
      <c r="F58" s="80" t="s">
        <v>260</v>
      </c>
      <c r="G58" s="80" t="s">
        <v>262</v>
      </c>
      <c r="H58" s="80" t="s">
        <v>263</v>
      </c>
      <c r="I58" s="80" t="s">
        <v>264</v>
      </c>
      <c r="J58" s="80" t="s">
        <v>265</v>
      </c>
      <c r="K58" s="80" t="s">
        <v>266</v>
      </c>
      <c r="L58" s="80" t="s">
        <v>267</v>
      </c>
      <c r="M58" s="80" t="s">
        <v>268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9.9" customHeight="1" x14ac:dyDescent="0.25">
      <c r="A59" s="54" t="s">
        <v>42</v>
      </c>
      <c r="B59" s="57">
        <v>15674</v>
      </c>
      <c r="C59" s="57">
        <v>16159</v>
      </c>
      <c r="D59" s="57">
        <v>20720</v>
      </c>
      <c r="E59" s="57">
        <v>16424</v>
      </c>
      <c r="F59" s="57">
        <v>17166</v>
      </c>
      <c r="G59" s="57">
        <v>22608</v>
      </c>
      <c r="H59" s="57">
        <v>16096</v>
      </c>
      <c r="I59" s="57">
        <v>17841</v>
      </c>
      <c r="J59" s="57">
        <v>20794</v>
      </c>
      <c r="K59" s="57">
        <v>15788</v>
      </c>
      <c r="L59" s="57">
        <v>18378</v>
      </c>
      <c r="M59" s="57">
        <v>17602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9.9" customHeight="1" x14ac:dyDescent="0.25">
      <c r="A60" s="54" t="s">
        <v>25</v>
      </c>
      <c r="B60" s="57">
        <v>5161</v>
      </c>
      <c r="C60" s="57">
        <v>4417</v>
      </c>
      <c r="D60" s="57">
        <v>5796</v>
      </c>
      <c r="E60" s="57">
        <v>5421</v>
      </c>
      <c r="F60" s="57">
        <v>6418</v>
      </c>
      <c r="G60" s="57">
        <v>6011</v>
      </c>
      <c r="H60" s="57">
        <v>5185</v>
      </c>
      <c r="I60" s="57">
        <v>5511</v>
      </c>
      <c r="J60" s="57">
        <v>5508</v>
      </c>
      <c r="K60" s="57">
        <v>4789</v>
      </c>
      <c r="L60" s="57">
        <v>4681</v>
      </c>
      <c r="M60" s="57">
        <v>4930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9.9" customHeight="1" x14ac:dyDescent="0.25">
      <c r="A61" s="54" t="s">
        <v>20</v>
      </c>
      <c r="B61" s="57">
        <v>37247</v>
      </c>
      <c r="C61" s="57">
        <v>35910</v>
      </c>
      <c r="D61" s="57">
        <v>41336</v>
      </c>
      <c r="E61" s="57">
        <v>31743</v>
      </c>
      <c r="F61" s="57">
        <v>32559</v>
      </c>
      <c r="G61" s="57">
        <v>38404</v>
      </c>
      <c r="H61" s="57">
        <v>29882</v>
      </c>
      <c r="I61" s="57">
        <v>31885</v>
      </c>
      <c r="J61" s="57">
        <v>34597</v>
      </c>
      <c r="K61" s="57">
        <v>33916</v>
      </c>
      <c r="L61" s="57">
        <v>33213</v>
      </c>
      <c r="M61" s="57">
        <v>27705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9.9" customHeight="1" x14ac:dyDescent="0.25">
      <c r="A62" s="58" t="s">
        <v>27</v>
      </c>
      <c r="B62" s="57">
        <v>2034</v>
      </c>
      <c r="C62" s="57">
        <v>1933</v>
      </c>
      <c r="D62" s="57">
        <v>2707</v>
      </c>
      <c r="E62" s="57">
        <v>2357</v>
      </c>
      <c r="F62" s="57">
        <v>2695</v>
      </c>
      <c r="G62" s="57">
        <v>2823</v>
      </c>
      <c r="H62" s="57">
        <v>2836</v>
      </c>
      <c r="I62" s="57">
        <v>2474</v>
      </c>
      <c r="J62" s="57">
        <v>2116</v>
      </c>
      <c r="K62" s="57">
        <v>2388</v>
      </c>
      <c r="L62" s="57">
        <v>2311</v>
      </c>
      <c r="M62" s="57">
        <v>2009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9.9" customHeight="1" x14ac:dyDescent="0.25">
      <c r="A63" s="58" t="s">
        <v>139</v>
      </c>
      <c r="B63" s="57">
        <v>2971</v>
      </c>
      <c r="C63" s="57">
        <v>2910</v>
      </c>
      <c r="D63" s="57">
        <v>3882</v>
      </c>
      <c r="E63" s="57">
        <v>4470</v>
      </c>
      <c r="F63" s="57">
        <v>4186</v>
      </c>
      <c r="G63" s="57">
        <v>5116</v>
      </c>
      <c r="H63" s="57">
        <v>5390</v>
      </c>
      <c r="I63" s="57">
        <v>3320</v>
      </c>
      <c r="J63" s="57">
        <v>3397</v>
      </c>
      <c r="K63" s="57">
        <v>3045</v>
      </c>
      <c r="L63" s="57">
        <v>2698</v>
      </c>
      <c r="M63" s="57">
        <v>2703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9.9" customHeight="1" x14ac:dyDescent="0.25">
      <c r="A64" s="58" t="s">
        <v>140</v>
      </c>
      <c r="B64" s="57">
        <v>1110</v>
      </c>
      <c r="C64" s="57">
        <v>1101</v>
      </c>
      <c r="D64" s="57">
        <v>848</v>
      </c>
      <c r="E64" s="57">
        <v>747</v>
      </c>
      <c r="F64" s="57">
        <v>1304</v>
      </c>
      <c r="G64" s="57">
        <v>1023</v>
      </c>
      <c r="H64" s="57">
        <v>1108</v>
      </c>
      <c r="I64" s="57">
        <v>644</v>
      </c>
      <c r="J64" s="57">
        <v>1186</v>
      </c>
      <c r="K64" s="57">
        <v>824</v>
      </c>
      <c r="L64" s="57">
        <v>956</v>
      </c>
      <c r="M64" s="57">
        <v>776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9.9" customHeight="1" x14ac:dyDescent="0.25">
      <c r="A65" s="54" t="s">
        <v>50</v>
      </c>
      <c r="B65" s="57">
        <v>16263</v>
      </c>
      <c r="C65" s="57">
        <v>14225</v>
      </c>
      <c r="D65" s="57">
        <v>16903</v>
      </c>
      <c r="E65" s="57">
        <v>14714</v>
      </c>
      <c r="F65" s="57">
        <v>18073</v>
      </c>
      <c r="G65" s="57">
        <v>18738</v>
      </c>
      <c r="H65" s="57">
        <v>13448</v>
      </c>
      <c r="I65" s="57">
        <v>16581</v>
      </c>
      <c r="J65" s="57">
        <v>14898</v>
      </c>
      <c r="K65" s="57">
        <v>16283</v>
      </c>
      <c r="L65" s="57">
        <v>17408</v>
      </c>
      <c r="M65" s="57">
        <v>14553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9.9" customHeight="1" x14ac:dyDescent="0.25">
      <c r="A66" s="54" t="s">
        <v>269</v>
      </c>
      <c r="B66" s="57">
        <v>9407</v>
      </c>
      <c r="C66" s="57">
        <v>10202</v>
      </c>
      <c r="D66" s="57">
        <v>14622</v>
      </c>
      <c r="E66" s="57">
        <v>11014</v>
      </c>
      <c r="F66" s="57">
        <v>13496</v>
      </c>
      <c r="G66" s="57">
        <v>14749</v>
      </c>
      <c r="H66" s="57">
        <v>9867</v>
      </c>
      <c r="I66" s="57">
        <v>12749</v>
      </c>
      <c r="J66" s="57">
        <v>13004</v>
      </c>
      <c r="K66" s="57">
        <v>10848</v>
      </c>
      <c r="L66" s="57">
        <v>13120</v>
      </c>
      <c r="M66" s="57">
        <v>15219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9.9" customHeight="1" x14ac:dyDescent="0.25">
      <c r="A67" s="54" t="s">
        <v>270</v>
      </c>
      <c r="B67" s="57">
        <v>7881</v>
      </c>
      <c r="C67" s="57">
        <v>6306</v>
      </c>
      <c r="D67" s="57">
        <v>7538</v>
      </c>
      <c r="E67" s="57">
        <v>6438</v>
      </c>
      <c r="F67" s="57">
        <v>7942</v>
      </c>
      <c r="G67" s="57">
        <v>7396</v>
      </c>
      <c r="H67" s="57">
        <v>5505</v>
      </c>
      <c r="I67" s="57">
        <v>7113</v>
      </c>
      <c r="J67" s="57">
        <v>6800</v>
      </c>
      <c r="K67" s="57">
        <v>6198</v>
      </c>
      <c r="L67" s="57">
        <v>6393</v>
      </c>
      <c r="M67" s="57">
        <v>6186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9.9" customHeight="1" x14ac:dyDescent="0.25">
      <c r="A68" s="54" t="s">
        <v>18</v>
      </c>
      <c r="B68" s="57">
        <v>102906</v>
      </c>
      <c r="C68" s="57">
        <v>115403</v>
      </c>
      <c r="D68" s="57">
        <v>147098</v>
      </c>
      <c r="E68" s="57">
        <v>108733</v>
      </c>
      <c r="F68" s="57">
        <v>126819</v>
      </c>
      <c r="G68" s="57">
        <v>171112</v>
      </c>
      <c r="H68" s="57">
        <v>107551</v>
      </c>
      <c r="I68" s="57">
        <v>91411</v>
      </c>
      <c r="J68" s="57">
        <v>141155</v>
      </c>
      <c r="K68" s="57">
        <v>124998</v>
      </c>
      <c r="L68" s="57">
        <v>133970</v>
      </c>
      <c r="M68" s="57">
        <v>158027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9.9" customHeight="1" x14ac:dyDescent="0.25">
      <c r="A69" s="54" t="s">
        <v>15</v>
      </c>
      <c r="B69" s="57">
        <v>184112</v>
      </c>
      <c r="C69" s="57">
        <v>200512</v>
      </c>
      <c r="D69" s="57">
        <v>241330</v>
      </c>
      <c r="E69" s="57">
        <v>180264</v>
      </c>
      <c r="F69" s="57">
        <v>207199</v>
      </c>
      <c r="G69" s="57">
        <v>224558</v>
      </c>
      <c r="H69" s="57">
        <v>205911</v>
      </c>
      <c r="I69" s="57">
        <v>199183</v>
      </c>
      <c r="J69" s="57">
        <v>224816</v>
      </c>
      <c r="K69" s="57">
        <v>208642</v>
      </c>
      <c r="L69" s="57">
        <v>260512</v>
      </c>
      <c r="M69" s="57">
        <v>314318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9.9" customHeight="1" x14ac:dyDescent="0.25">
      <c r="A70" s="54" t="s">
        <v>44</v>
      </c>
      <c r="B70" s="57">
        <v>5521</v>
      </c>
      <c r="C70" s="57">
        <v>8551</v>
      </c>
      <c r="D70" s="57">
        <v>8355</v>
      </c>
      <c r="E70" s="57">
        <v>9289</v>
      </c>
      <c r="F70" s="57">
        <v>11991</v>
      </c>
      <c r="G70" s="57">
        <v>11091</v>
      </c>
      <c r="H70" s="57">
        <v>10874</v>
      </c>
      <c r="I70" s="57">
        <v>8658</v>
      </c>
      <c r="J70" s="57">
        <v>8606</v>
      </c>
      <c r="K70" s="57">
        <v>7790</v>
      </c>
      <c r="L70" s="57">
        <v>8071</v>
      </c>
      <c r="M70" s="57">
        <v>6486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9.9" customHeight="1" x14ac:dyDescent="0.25">
      <c r="A71" s="54" t="s">
        <v>22</v>
      </c>
      <c r="B71" s="57">
        <v>8088</v>
      </c>
      <c r="C71" s="57">
        <v>9449</v>
      </c>
      <c r="D71" s="57">
        <v>11153</v>
      </c>
      <c r="E71" s="57">
        <v>9090</v>
      </c>
      <c r="F71" s="57">
        <v>10139</v>
      </c>
      <c r="G71" s="57">
        <v>9492</v>
      </c>
      <c r="H71" s="57">
        <v>8951</v>
      </c>
      <c r="I71" s="57">
        <v>9987</v>
      </c>
      <c r="J71" s="57">
        <v>9419</v>
      </c>
      <c r="K71" s="57">
        <v>8259</v>
      </c>
      <c r="L71" s="57">
        <v>9497</v>
      </c>
      <c r="M71" s="57">
        <v>8001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9.9" customHeight="1" x14ac:dyDescent="0.25">
      <c r="A72" s="54" t="s">
        <v>45</v>
      </c>
      <c r="B72" s="57">
        <v>25093</v>
      </c>
      <c r="C72" s="57">
        <v>11965</v>
      </c>
      <c r="D72" s="57">
        <v>12870</v>
      </c>
      <c r="E72" s="57">
        <v>7837</v>
      </c>
      <c r="F72" s="57">
        <v>5280</v>
      </c>
      <c r="G72" s="57">
        <v>2131</v>
      </c>
      <c r="H72" s="57">
        <v>21899</v>
      </c>
      <c r="I72" s="57">
        <v>8108</v>
      </c>
      <c r="J72" s="57">
        <v>6309</v>
      </c>
      <c r="K72" s="57">
        <v>2564</v>
      </c>
      <c r="L72" s="57">
        <v>983</v>
      </c>
      <c r="M72" s="57">
        <v>209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9.9" customHeight="1" x14ac:dyDescent="0.25">
      <c r="A73" s="54" t="s">
        <v>16</v>
      </c>
      <c r="B73" s="57">
        <v>107814</v>
      </c>
      <c r="C73" s="57">
        <v>110902</v>
      </c>
      <c r="D73" s="57">
        <v>119542</v>
      </c>
      <c r="E73" s="57">
        <v>97389</v>
      </c>
      <c r="F73" s="57">
        <v>121327</v>
      </c>
      <c r="G73" s="57">
        <v>127254</v>
      </c>
      <c r="H73" s="57">
        <v>109628</v>
      </c>
      <c r="I73" s="57">
        <v>71188</v>
      </c>
      <c r="J73" s="57">
        <v>111011</v>
      </c>
      <c r="K73" s="57">
        <v>115839</v>
      </c>
      <c r="L73" s="57">
        <v>119875</v>
      </c>
      <c r="M73" s="57">
        <v>104915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9.9" customHeight="1" x14ac:dyDescent="0.25">
      <c r="A74" s="54" t="s">
        <v>46</v>
      </c>
      <c r="B74" s="57">
        <v>30984</v>
      </c>
      <c r="C74" s="57">
        <v>22740</v>
      </c>
      <c r="D74" s="57">
        <v>24815</v>
      </c>
      <c r="E74" s="57">
        <v>21918</v>
      </c>
      <c r="F74" s="57">
        <v>23354</v>
      </c>
      <c r="G74" s="57">
        <v>29897</v>
      </c>
      <c r="H74" s="57">
        <v>22067</v>
      </c>
      <c r="I74" s="57">
        <v>23522</v>
      </c>
      <c r="J74" s="57">
        <v>25647</v>
      </c>
      <c r="K74" s="57">
        <v>28820</v>
      </c>
      <c r="L74" s="57">
        <v>27819</v>
      </c>
      <c r="M74" s="57">
        <v>30900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9.9" customHeight="1" x14ac:dyDescent="0.25">
      <c r="A75" s="54" t="s">
        <v>271</v>
      </c>
      <c r="B75" s="57">
        <v>7957</v>
      </c>
      <c r="C75" s="57">
        <v>8147</v>
      </c>
      <c r="D75" s="57">
        <v>16238</v>
      </c>
      <c r="E75" s="57">
        <v>9725</v>
      </c>
      <c r="F75" s="57">
        <v>11537</v>
      </c>
      <c r="G75" s="57">
        <v>14901</v>
      </c>
      <c r="H75" s="57">
        <v>7247</v>
      </c>
      <c r="I75" s="57">
        <v>12363</v>
      </c>
      <c r="J75" s="57">
        <v>14646</v>
      </c>
      <c r="K75" s="57">
        <v>12588</v>
      </c>
      <c r="L75" s="57">
        <v>19513</v>
      </c>
      <c r="M75" s="57">
        <v>39497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9.9" customHeight="1" x14ac:dyDescent="0.25">
      <c r="A76" s="54" t="s">
        <v>21</v>
      </c>
      <c r="B76" s="57">
        <v>28975</v>
      </c>
      <c r="C76" s="57">
        <v>33538</v>
      </c>
      <c r="D76" s="57">
        <v>39528</v>
      </c>
      <c r="E76" s="57">
        <v>34882</v>
      </c>
      <c r="F76" s="57">
        <v>35897</v>
      </c>
      <c r="G76" s="57">
        <v>39597</v>
      </c>
      <c r="H76" s="57">
        <v>34702</v>
      </c>
      <c r="I76" s="57">
        <v>33758</v>
      </c>
      <c r="J76" s="57">
        <v>35803</v>
      </c>
      <c r="K76" s="57">
        <v>32001</v>
      </c>
      <c r="L76" s="57">
        <v>34196</v>
      </c>
      <c r="M76" s="57">
        <v>36872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9.9" customHeight="1" x14ac:dyDescent="0.25">
      <c r="A77" s="54" t="s">
        <v>47</v>
      </c>
      <c r="B77" s="57">
        <v>9829</v>
      </c>
      <c r="C77" s="57">
        <v>11571</v>
      </c>
      <c r="D77" s="57">
        <v>13371</v>
      </c>
      <c r="E77" s="57">
        <v>12420</v>
      </c>
      <c r="F77" s="57">
        <v>12748</v>
      </c>
      <c r="G77" s="57">
        <v>15510</v>
      </c>
      <c r="H77" s="57">
        <v>14495</v>
      </c>
      <c r="I77" s="57">
        <v>11349</v>
      </c>
      <c r="J77" s="57">
        <v>12471</v>
      </c>
      <c r="K77" s="57">
        <v>12558</v>
      </c>
      <c r="L77" s="57">
        <v>15234</v>
      </c>
      <c r="M77" s="57">
        <v>14752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9.9" customHeight="1" x14ac:dyDescent="0.25">
      <c r="A78" s="54" t="s">
        <v>26</v>
      </c>
      <c r="B78" s="57">
        <v>9337</v>
      </c>
      <c r="C78" s="57">
        <v>8616</v>
      </c>
      <c r="D78" s="57">
        <v>11025</v>
      </c>
      <c r="E78" s="57">
        <v>8469</v>
      </c>
      <c r="F78" s="57">
        <v>10198</v>
      </c>
      <c r="G78" s="57">
        <v>11067</v>
      </c>
      <c r="H78" s="57">
        <v>11316</v>
      </c>
      <c r="I78" s="57">
        <v>13321</v>
      </c>
      <c r="J78" s="57">
        <v>11927</v>
      </c>
      <c r="K78" s="57">
        <v>10541</v>
      </c>
      <c r="L78" s="57">
        <v>11074</v>
      </c>
      <c r="M78" s="57">
        <v>12437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9.9" customHeight="1" x14ac:dyDescent="0.25">
      <c r="A79" s="54" t="s">
        <v>23</v>
      </c>
      <c r="B79" s="57">
        <v>5739</v>
      </c>
      <c r="C79" s="57">
        <v>6006</v>
      </c>
      <c r="D79" s="57">
        <v>7476</v>
      </c>
      <c r="E79" s="57">
        <v>6058</v>
      </c>
      <c r="F79" s="57">
        <v>6650</v>
      </c>
      <c r="G79" s="57">
        <v>8024</v>
      </c>
      <c r="H79" s="57">
        <v>6221</v>
      </c>
      <c r="I79" s="57">
        <v>6695</v>
      </c>
      <c r="J79" s="57">
        <v>5237</v>
      </c>
      <c r="K79" s="57">
        <v>7728</v>
      </c>
      <c r="L79" s="57">
        <v>6976</v>
      </c>
      <c r="M79" s="57">
        <v>6449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9.9" customHeight="1" x14ac:dyDescent="0.25">
      <c r="A80" s="54" t="s">
        <v>24</v>
      </c>
      <c r="B80" s="57">
        <v>4320</v>
      </c>
      <c r="C80" s="57">
        <v>3805</v>
      </c>
      <c r="D80" s="57">
        <v>4627</v>
      </c>
      <c r="E80" s="57">
        <v>3918</v>
      </c>
      <c r="F80" s="57">
        <v>4784</v>
      </c>
      <c r="G80" s="57">
        <v>4393</v>
      </c>
      <c r="H80" s="57">
        <v>3796</v>
      </c>
      <c r="I80" s="57">
        <v>3339</v>
      </c>
      <c r="J80" s="57">
        <v>3776</v>
      </c>
      <c r="K80" s="57">
        <v>3433</v>
      </c>
      <c r="L80" s="57">
        <v>3623</v>
      </c>
      <c r="M80" s="57">
        <v>2525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9.9" customHeight="1" x14ac:dyDescent="0.25">
      <c r="A81" s="54" t="s">
        <v>19</v>
      </c>
      <c r="B81" s="57">
        <v>42377</v>
      </c>
      <c r="C81" s="57">
        <v>62103</v>
      </c>
      <c r="D81" s="57">
        <v>59919</v>
      </c>
      <c r="E81" s="57">
        <v>69110</v>
      </c>
      <c r="F81" s="57">
        <v>84979</v>
      </c>
      <c r="G81" s="57">
        <v>89269</v>
      </c>
      <c r="H81" s="57">
        <v>73378</v>
      </c>
      <c r="I81" s="57">
        <v>51907</v>
      </c>
      <c r="J81" s="57">
        <v>67239</v>
      </c>
      <c r="K81" s="57">
        <v>65966</v>
      </c>
      <c r="L81" s="57">
        <v>73222</v>
      </c>
      <c r="M81" s="57">
        <v>73927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9.9" customHeight="1" x14ac:dyDescent="0.25">
      <c r="A82" s="54" t="s">
        <v>48</v>
      </c>
      <c r="B82" s="57">
        <v>19893</v>
      </c>
      <c r="C82" s="57">
        <v>21136</v>
      </c>
      <c r="D82" s="57">
        <v>28710</v>
      </c>
      <c r="E82" s="57">
        <v>21942</v>
      </c>
      <c r="F82" s="57">
        <v>26413</v>
      </c>
      <c r="G82" s="57">
        <v>26088</v>
      </c>
      <c r="H82" s="57">
        <v>17834</v>
      </c>
      <c r="I82" s="57">
        <v>20576</v>
      </c>
      <c r="J82" s="57">
        <v>22048</v>
      </c>
      <c r="K82" s="57">
        <v>22383</v>
      </c>
      <c r="L82" s="57">
        <v>25588</v>
      </c>
      <c r="M82" s="57">
        <v>35476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9.9" customHeight="1" x14ac:dyDescent="0.25">
      <c r="A83" s="54" t="s">
        <v>49</v>
      </c>
      <c r="B83" s="57">
        <v>15899</v>
      </c>
      <c r="C83" s="57">
        <v>16606</v>
      </c>
      <c r="D83" s="57">
        <v>21722</v>
      </c>
      <c r="E83" s="57">
        <v>15646</v>
      </c>
      <c r="F83" s="57">
        <v>18450</v>
      </c>
      <c r="G83" s="57">
        <v>21276</v>
      </c>
      <c r="H83" s="57">
        <v>15654</v>
      </c>
      <c r="I83" s="57">
        <v>16405</v>
      </c>
      <c r="J83" s="57">
        <v>20948</v>
      </c>
      <c r="K83" s="57">
        <v>17185</v>
      </c>
      <c r="L83" s="57">
        <v>21406</v>
      </c>
      <c r="M83" s="57">
        <v>24737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9.9" customHeight="1" x14ac:dyDescent="0.25">
      <c r="A84" s="54" t="s">
        <v>17</v>
      </c>
      <c r="B84" s="57">
        <v>115087</v>
      </c>
      <c r="C84" s="57">
        <v>58994</v>
      </c>
      <c r="D84" s="57">
        <v>243479</v>
      </c>
      <c r="E84" s="57">
        <v>119167</v>
      </c>
      <c r="F84" s="57">
        <v>124394</v>
      </c>
      <c r="G84" s="57">
        <v>140958</v>
      </c>
      <c r="H84" s="57">
        <v>112162</v>
      </c>
      <c r="I84" s="57">
        <v>68858</v>
      </c>
      <c r="J84" s="57">
        <v>225269</v>
      </c>
      <c r="K84" s="57">
        <v>134344</v>
      </c>
      <c r="L84" s="57">
        <v>142889</v>
      </c>
      <c r="M84" s="57">
        <v>128462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9.9" customHeight="1" x14ac:dyDescent="0.25">
      <c r="A85" s="54" t="s">
        <v>1</v>
      </c>
      <c r="B85" s="57">
        <v>29020</v>
      </c>
      <c r="C85" s="57">
        <v>37641</v>
      </c>
      <c r="D85" s="57">
        <v>50173</v>
      </c>
      <c r="E85" s="57">
        <v>45564</v>
      </c>
      <c r="F85" s="57">
        <v>51750</v>
      </c>
      <c r="G85" s="57">
        <v>64134</v>
      </c>
      <c r="H85" s="57">
        <v>41031</v>
      </c>
      <c r="I85" s="57">
        <v>35230</v>
      </c>
      <c r="J85" s="57">
        <v>44681</v>
      </c>
      <c r="K85" s="57">
        <v>47440</v>
      </c>
      <c r="L85" s="57">
        <v>59222</v>
      </c>
      <c r="M85" s="57">
        <v>86774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9.9" customHeight="1" x14ac:dyDescent="0.25">
      <c r="A86" s="54" t="s">
        <v>238</v>
      </c>
      <c r="B86" s="57">
        <v>91662</v>
      </c>
      <c r="C86" s="57">
        <v>114349</v>
      </c>
      <c r="D86" s="57">
        <v>55129</v>
      </c>
      <c r="E86" s="57">
        <v>32706</v>
      </c>
      <c r="F86" s="57">
        <v>40460</v>
      </c>
      <c r="G86" s="57">
        <v>35922</v>
      </c>
      <c r="H86" s="57">
        <v>36945</v>
      </c>
      <c r="I86" s="57">
        <v>21282</v>
      </c>
      <c r="J86" s="57">
        <v>46698</v>
      </c>
      <c r="K86" s="57">
        <v>45228</v>
      </c>
      <c r="L86" s="57">
        <v>46403</v>
      </c>
      <c r="M86" s="57">
        <v>64072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9.9" customHeight="1" x14ac:dyDescent="0.25">
      <c r="A87" s="54" t="s">
        <v>3</v>
      </c>
      <c r="B87" s="57">
        <v>5323</v>
      </c>
      <c r="C87" s="57">
        <v>5325</v>
      </c>
      <c r="D87" s="57">
        <v>546</v>
      </c>
      <c r="E87" s="57">
        <v>1190</v>
      </c>
      <c r="F87" s="57">
        <v>2542</v>
      </c>
      <c r="G87" s="57">
        <v>2902</v>
      </c>
      <c r="H87" s="57">
        <v>3647</v>
      </c>
      <c r="I87" s="57">
        <v>2924</v>
      </c>
      <c r="J87" s="57">
        <v>3400</v>
      </c>
      <c r="K87" s="57">
        <v>3139</v>
      </c>
      <c r="L87" s="57">
        <v>3090</v>
      </c>
      <c r="M87" s="57">
        <v>3860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9.9" customHeight="1" x14ac:dyDescent="0.25">
      <c r="A88" s="54" t="s">
        <v>4</v>
      </c>
      <c r="B88" s="57">
        <v>272445</v>
      </c>
      <c r="C88" s="57">
        <v>289848</v>
      </c>
      <c r="D88" s="57">
        <v>426393</v>
      </c>
      <c r="E88" s="57">
        <v>244292</v>
      </c>
      <c r="F88" s="57">
        <v>211856</v>
      </c>
      <c r="G88" s="57">
        <v>268077</v>
      </c>
      <c r="H88" s="57">
        <v>288145</v>
      </c>
      <c r="I88" s="57">
        <v>234143</v>
      </c>
      <c r="J88" s="57">
        <v>324901</v>
      </c>
      <c r="K88" s="57">
        <v>295809</v>
      </c>
      <c r="L88" s="57">
        <v>308059</v>
      </c>
      <c r="M88" s="57">
        <v>284330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9.9" customHeight="1" x14ac:dyDescent="0.25">
      <c r="A89" s="54" t="s">
        <v>5</v>
      </c>
      <c r="B89" s="57">
        <v>778808</v>
      </c>
      <c r="C89" s="57">
        <v>830126</v>
      </c>
      <c r="D89" s="57">
        <v>940002</v>
      </c>
      <c r="E89" s="57">
        <v>983699</v>
      </c>
      <c r="F89" s="57">
        <v>1067042</v>
      </c>
      <c r="G89" s="57">
        <v>916835</v>
      </c>
      <c r="H89" s="57">
        <v>911047</v>
      </c>
      <c r="I89" s="57">
        <v>1020010</v>
      </c>
      <c r="J89" s="57">
        <v>924014</v>
      </c>
      <c r="K89" s="57">
        <v>952862</v>
      </c>
      <c r="L89" s="57">
        <v>917954</v>
      </c>
      <c r="M89" s="57">
        <v>1087370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9.9" customHeight="1" x14ac:dyDescent="0.25">
      <c r="A90" s="54" t="s">
        <v>6</v>
      </c>
      <c r="B90" s="57">
        <v>2186344</v>
      </c>
      <c r="C90" s="57">
        <v>1487442</v>
      </c>
      <c r="D90" s="57">
        <v>1864360</v>
      </c>
      <c r="E90" s="57">
        <v>965120</v>
      </c>
      <c r="F90" s="57">
        <v>1622879</v>
      </c>
      <c r="G90" s="57">
        <v>2221604</v>
      </c>
      <c r="H90" s="57">
        <v>2174325</v>
      </c>
      <c r="I90" s="57">
        <v>2125260</v>
      </c>
      <c r="J90" s="57">
        <v>2331769</v>
      </c>
      <c r="K90" s="57">
        <v>2231197</v>
      </c>
      <c r="L90" s="57">
        <v>2074816</v>
      </c>
      <c r="M90" s="57">
        <v>2278171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9.9" customHeight="1" x14ac:dyDescent="0.25">
      <c r="A91" s="54" t="s">
        <v>7</v>
      </c>
      <c r="B91" s="57">
        <v>92539</v>
      </c>
      <c r="C91" s="57">
        <v>100842</v>
      </c>
      <c r="D91" s="57">
        <v>118653</v>
      </c>
      <c r="E91" s="57">
        <v>120897</v>
      </c>
      <c r="F91" s="57">
        <v>119807</v>
      </c>
      <c r="G91" s="57">
        <v>123768</v>
      </c>
      <c r="H91" s="57">
        <v>118808</v>
      </c>
      <c r="I91" s="57">
        <v>106809</v>
      </c>
      <c r="J91" s="57">
        <v>114731</v>
      </c>
      <c r="K91" s="57">
        <v>119822</v>
      </c>
      <c r="L91" s="57">
        <v>133208</v>
      </c>
      <c r="M91" s="57">
        <v>139669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9.9" customHeight="1" x14ac:dyDescent="0.25">
      <c r="A92" s="54" t="s">
        <v>8</v>
      </c>
      <c r="B92" s="57">
        <v>92212</v>
      </c>
      <c r="C92" s="57">
        <v>97590</v>
      </c>
      <c r="D92" s="57">
        <v>108272</v>
      </c>
      <c r="E92" s="57">
        <v>109707</v>
      </c>
      <c r="F92" s="57">
        <v>139483</v>
      </c>
      <c r="G92" s="57">
        <v>133587</v>
      </c>
      <c r="H92" s="57">
        <v>135431</v>
      </c>
      <c r="I92" s="57">
        <v>154947</v>
      </c>
      <c r="J92" s="57">
        <v>143210</v>
      </c>
      <c r="K92" s="57">
        <v>137003</v>
      </c>
      <c r="L92" s="57">
        <v>158766</v>
      </c>
      <c r="M92" s="57">
        <v>164284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9.9" customHeight="1" x14ac:dyDescent="0.25">
      <c r="A93" s="54" t="s">
        <v>9</v>
      </c>
      <c r="B93" s="57">
        <v>254287</v>
      </c>
      <c r="C93" s="57">
        <v>262984</v>
      </c>
      <c r="D93" s="57">
        <v>279501</v>
      </c>
      <c r="E93" s="57">
        <v>251581</v>
      </c>
      <c r="F93" s="57">
        <v>251052</v>
      </c>
      <c r="G93" s="57">
        <v>322534</v>
      </c>
      <c r="H93" s="57">
        <v>293865</v>
      </c>
      <c r="I93" s="57">
        <v>281210</v>
      </c>
      <c r="J93" s="57">
        <v>307389</v>
      </c>
      <c r="K93" s="57">
        <v>291113</v>
      </c>
      <c r="L93" s="57">
        <v>276231</v>
      </c>
      <c r="M93" s="57">
        <v>274095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9.9" customHeight="1" x14ac:dyDescent="0.25">
      <c r="A94" s="54" t="s">
        <v>10</v>
      </c>
      <c r="B94" s="57">
        <v>14798</v>
      </c>
      <c r="C94" s="57">
        <v>17365</v>
      </c>
      <c r="D94" s="57">
        <v>25310</v>
      </c>
      <c r="E94" s="57">
        <v>26935</v>
      </c>
      <c r="F94" s="57">
        <v>26030</v>
      </c>
      <c r="G94" s="57">
        <v>13410</v>
      </c>
      <c r="H94" s="57">
        <v>26109</v>
      </c>
      <c r="I94" s="57">
        <v>26750</v>
      </c>
      <c r="J94" s="57">
        <v>22237</v>
      </c>
      <c r="K94" s="57">
        <v>22457</v>
      </c>
      <c r="L94" s="57">
        <v>20097</v>
      </c>
      <c r="M94" s="57">
        <v>19674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9.9" customHeight="1" x14ac:dyDescent="0.25">
      <c r="A95" s="54" t="s">
        <v>11</v>
      </c>
      <c r="B95" s="57">
        <v>37277</v>
      </c>
      <c r="C95" s="57">
        <v>36856</v>
      </c>
      <c r="D95" s="57">
        <v>43743</v>
      </c>
      <c r="E95" s="57">
        <v>40522</v>
      </c>
      <c r="F95" s="57">
        <v>43359</v>
      </c>
      <c r="G95" s="57">
        <v>41391</v>
      </c>
      <c r="H95" s="57">
        <v>36252</v>
      </c>
      <c r="I95" s="57">
        <v>41435</v>
      </c>
      <c r="J95" s="57">
        <v>37959</v>
      </c>
      <c r="K95" s="57">
        <v>36951</v>
      </c>
      <c r="L95" s="57">
        <v>40597</v>
      </c>
      <c r="M95" s="57">
        <v>50651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9.9" customHeight="1" x14ac:dyDescent="0.25">
      <c r="A96" s="54" t="s">
        <v>29</v>
      </c>
      <c r="B96" s="57">
        <v>29302</v>
      </c>
      <c r="C96" s="57">
        <v>18616</v>
      </c>
      <c r="D96" s="57">
        <v>21932</v>
      </c>
      <c r="E96" s="57">
        <v>20121</v>
      </c>
      <c r="F96" s="57">
        <v>22364</v>
      </c>
      <c r="G96" s="57">
        <v>20387</v>
      </c>
      <c r="H96" s="57">
        <v>22960</v>
      </c>
      <c r="I96" s="57">
        <v>24476</v>
      </c>
      <c r="J96" s="57">
        <v>21660</v>
      </c>
      <c r="K96" s="57">
        <v>19020</v>
      </c>
      <c r="L96" s="57">
        <v>28138</v>
      </c>
      <c r="M96" s="57">
        <v>11871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107" ht="9.9" customHeight="1" x14ac:dyDescent="0.25">
      <c r="A97" s="54" t="s">
        <v>28</v>
      </c>
      <c r="B97" s="57">
        <v>55334</v>
      </c>
      <c r="C97" s="57">
        <v>60620</v>
      </c>
      <c r="D97" s="57">
        <v>72892</v>
      </c>
      <c r="E97" s="57">
        <v>57814</v>
      </c>
      <c r="F97" s="57">
        <v>68711</v>
      </c>
      <c r="G97" s="57">
        <v>70957</v>
      </c>
      <c r="H97" s="57">
        <v>60727</v>
      </c>
      <c r="I97" s="57">
        <v>68568</v>
      </c>
      <c r="J97" s="57">
        <v>67133</v>
      </c>
      <c r="K97" s="57">
        <v>61784</v>
      </c>
      <c r="L97" s="57">
        <v>69112</v>
      </c>
      <c r="M97" s="57">
        <v>64036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107" ht="9.9" customHeight="1" x14ac:dyDescent="0.25">
      <c r="A98" s="59" t="s">
        <v>68</v>
      </c>
      <c r="B98" s="60">
        <v>4761030</v>
      </c>
      <c r="C98" s="60">
        <v>4162811</v>
      </c>
      <c r="D98" s="60">
        <v>5132516</v>
      </c>
      <c r="E98" s="60">
        <v>3729333</v>
      </c>
      <c r="F98" s="60">
        <v>4613333</v>
      </c>
      <c r="G98" s="60">
        <v>5298994</v>
      </c>
      <c r="H98" s="60">
        <v>5022295</v>
      </c>
      <c r="I98" s="60">
        <v>4891790</v>
      </c>
      <c r="J98" s="60">
        <v>5438409</v>
      </c>
      <c r="K98" s="60">
        <v>5173543</v>
      </c>
      <c r="L98" s="60">
        <v>5149299</v>
      </c>
      <c r="M98" s="60">
        <v>5618530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107" ht="9.9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107" ht="9.9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107" ht="93.6" x14ac:dyDescent="0.25">
      <c r="A101" s="52" t="s">
        <v>41</v>
      </c>
      <c r="B101" s="53" t="s">
        <v>115</v>
      </c>
      <c r="C101" s="53" t="s">
        <v>116</v>
      </c>
      <c r="D101" s="53" t="s">
        <v>117</v>
      </c>
      <c r="E101" s="53" t="s">
        <v>118</v>
      </c>
      <c r="F101" s="53" t="s">
        <v>121</v>
      </c>
      <c r="G101" s="53" t="s">
        <v>122</v>
      </c>
      <c r="H101" s="53" t="s">
        <v>123</v>
      </c>
      <c r="I101" s="53" t="s">
        <v>124</v>
      </c>
      <c r="J101" s="53" t="s">
        <v>125</v>
      </c>
      <c r="K101" s="53" t="s">
        <v>126</v>
      </c>
      <c r="L101" s="53" t="s">
        <v>127</v>
      </c>
      <c r="M101" s="53" t="s">
        <v>128</v>
      </c>
      <c r="N101" s="53" t="s">
        <v>129</v>
      </c>
      <c r="O101" s="53" t="s">
        <v>130</v>
      </c>
      <c r="P101" s="53" t="s">
        <v>131</v>
      </c>
      <c r="Q101" s="53" t="s">
        <v>132</v>
      </c>
      <c r="R101" s="53" t="s">
        <v>133</v>
      </c>
      <c r="S101" s="53" t="s">
        <v>134</v>
      </c>
      <c r="T101" s="53" t="s">
        <v>136</v>
      </c>
      <c r="U101" s="53" t="s">
        <v>137</v>
      </c>
      <c r="V101" s="53" t="s">
        <v>141</v>
      </c>
      <c r="W101" s="53" t="s">
        <v>154</v>
      </c>
      <c r="X101" s="53" t="s">
        <v>156</v>
      </c>
      <c r="Y101" s="53" t="s">
        <v>158</v>
      </c>
      <c r="Z101" s="53" t="s">
        <v>159</v>
      </c>
      <c r="AA101" s="53" t="s">
        <v>161</v>
      </c>
      <c r="AB101" s="53" t="s">
        <v>162</v>
      </c>
      <c r="AC101" s="53" t="s">
        <v>163</v>
      </c>
      <c r="AD101" s="53" t="s">
        <v>164</v>
      </c>
      <c r="AE101" s="53" t="s">
        <v>165</v>
      </c>
      <c r="AF101" s="53" t="s">
        <v>166</v>
      </c>
      <c r="AG101" s="53" t="s">
        <v>167</v>
      </c>
      <c r="AH101" s="53" t="s">
        <v>168</v>
      </c>
      <c r="AI101" s="53" t="s">
        <v>169</v>
      </c>
      <c r="AJ101" s="80" t="s">
        <v>170</v>
      </c>
      <c r="AK101" s="80" t="s">
        <v>172</v>
      </c>
      <c r="AL101" s="80" t="s">
        <v>173</v>
      </c>
      <c r="AM101" s="80" t="s">
        <v>174</v>
      </c>
      <c r="AN101" s="80" t="s">
        <v>175</v>
      </c>
      <c r="AO101" s="80" t="s">
        <v>176</v>
      </c>
      <c r="AP101" s="80" t="s">
        <v>177</v>
      </c>
      <c r="AQ101" s="80" t="s">
        <v>178</v>
      </c>
      <c r="AR101" s="80" t="s">
        <v>179</v>
      </c>
      <c r="AS101" s="80" t="s">
        <v>180</v>
      </c>
      <c r="AT101" s="80" t="s">
        <v>181</v>
      </c>
      <c r="AU101" s="80" t="s">
        <v>182</v>
      </c>
      <c r="AV101" s="80" t="s">
        <v>183</v>
      </c>
      <c r="AW101" s="80" t="s">
        <v>184</v>
      </c>
      <c r="AX101" s="80" t="s">
        <v>185</v>
      </c>
      <c r="AY101" s="80" t="s">
        <v>186</v>
      </c>
      <c r="AZ101" s="80" t="s">
        <v>187</v>
      </c>
      <c r="BA101" s="80" t="s">
        <v>188</v>
      </c>
      <c r="BB101" s="80" t="s">
        <v>189</v>
      </c>
      <c r="BC101" s="80" t="s">
        <v>190</v>
      </c>
      <c r="BD101" s="80" t="s">
        <v>191</v>
      </c>
      <c r="BE101" s="80" t="s">
        <v>192</v>
      </c>
      <c r="BF101" s="80" t="s">
        <v>193</v>
      </c>
      <c r="BG101" s="80" t="s">
        <v>194</v>
      </c>
      <c r="BH101" s="80" t="s">
        <v>195</v>
      </c>
      <c r="BI101" s="80" t="s">
        <v>196</v>
      </c>
      <c r="BJ101" s="80" t="s">
        <v>197</v>
      </c>
      <c r="BK101" s="80" t="s">
        <v>198</v>
      </c>
      <c r="BL101" s="80" t="s">
        <v>199</v>
      </c>
      <c r="BM101" s="80" t="s">
        <v>200</v>
      </c>
      <c r="BN101" s="80" t="s">
        <v>201</v>
      </c>
      <c r="BO101" s="80" t="s">
        <v>202</v>
      </c>
      <c r="BP101" s="80" t="s">
        <v>203</v>
      </c>
      <c r="BQ101" s="80" t="s">
        <v>204</v>
      </c>
      <c r="BR101" s="80" t="s">
        <v>205</v>
      </c>
      <c r="BS101" s="80" t="s">
        <v>206</v>
      </c>
      <c r="BT101" s="80" t="s">
        <v>207</v>
      </c>
      <c r="BU101" s="80" t="s">
        <v>208</v>
      </c>
      <c r="BV101" s="80" t="s">
        <v>209</v>
      </c>
      <c r="BW101" s="80" t="s">
        <v>210</v>
      </c>
      <c r="BX101" s="80" t="s">
        <v>211</v>
      </c>
      <c r="BY101" s="80" t="s">
        <v>212</v>
      </c>
      <c r="BZ101" s="80" t="s">
        <v>213</v>
      </c>
      <c r="CA101" s="80" t="s">
        <v>214</v>
      </c>
      <c r="CB101" s="80" t="s">
        <v>215</v>
      </c>
      <c r="CC101" s="80" t="s">
        <v>216</v>
      </c>
      <c r="CD101" s="80" t="s">
        <v>217</v>
      </c>
      <c r="CE101" s="80" t="s">
        <v>218</v>
      </c>
      <c r="CF101" s="80" t="s">
        <v>226</v>
      </c>
      <c r="CG101" s="80" t="s">
        <v>227</v>
      </c>
      <c r="CH101" s="80" t="s">
        <v>228</v>
      </c>
      <c r="CI101" s="80" t="s">
        <v>229</v>
      </c>
      <c r="CJ101" s="80" t="s">
        <v>230</v>
      </c>
      <c r="CK101" s="80" t="s">
        <v>231</v>
      </c>
      <c r="CL101" s="80" t="s">
        <v>232</v>
      </c>
      <c r="CM101" s="80" t="s">
        <v>233</v>
      </c>
      <c r="CN101" s="80" t="s">
        <v>234</v>
      </c>
      <c r="CO101" s="80" t="s">
        <v>235</v>
      </c>
      <c r="CP101" s="80" t="s">
        <v>236</v>
      </c>
      <c r="CQ101" s="80" t="s">
        <v>237</v>
      </c>
      <c r="CR101" s="80" t="s">
        <v>239</v>
      </c>
      <c r="CS101" s="80" t="s">
        <v>240</v>
      </c>
      <c r="CT101" s="80" t="s">
        <v>241</v>
      </c>
      <c r="CU101" s="80" t="s">
        <v>242</v>
      </c>
      <c r="CV101" s="80" t="s">
        <v>243</v>
      </c>
      <c r="CW101" s="80" t="s">
        <v>244</v>
      </c>
      <c r="CX101" s="80" t="s">
        <v>245</v>
      </c>
      <c r="CY101" s="80" t="s">
        <v>246</v>
      </c>
      <c r="CZ101" s="80" t="s">
        <v>247</v>
      </c>
      <c r="DA101" s="80" t="s">
        <v>248</v>
      </c>
      <c r="DB101" s="80" t="s">
        <v>249</v>
      </c>
      <c r="DC101" s="80" t="s">
        <v>250</v>
      </c>
    </row>
    <row r="102" spans="1:107" ht="12" customHeight="1" x14ac:dyDescent="0.25">
      <c r="A102" s="54" t="s">
        <v>42</v>
      </c>
      <c r="B102" s="57">
        <v>27761</v>
      </c>
      <c r="C102" s="57">
        <f>49020-27761</f>
        <v>21259</v>
      </c>
      <c r="D102" s="57">
        <v>31140</v>
      </c>
      <c r="E102" s="57">
        <v>30887</v>
      </c>
      <c r="F102" s="57">
        <v>28630</v>
      </c>
      <c r="G102" s="57">
        <f>223396-200259</f>
        <v>23137</v>
      </c>
      <c r="H102" s="57">
        <f>248772-223396</f>
        <v>25376</v>
      </c>
      <c r="I102" s="57">
        <f>275579-248772</f>
        <v>26807</v>
      </c>
      <c r="J102" s="57">
        <f>298973-275579</f>
        <v>23394</v>
      </c>
      <c r="K102" s="57">
        <v>20889</v>
      </c>
      <c r="L102" s="57">
        <v>24072</v>
      </c>
      <c r="M102" s="57">
        <v>27675</v>
      </c>
      <c r="N102" s="57">
        <v>29777</v>
      </c>
      <c r="O102" s="57">
        <v>29339</v>
      </c>
      <c r="P102" s="57">
        <v>27054</v>
      </c>
      <c r="Q102" s="57">
        <f>167103-137917</f>
        <v>29186</v>
      </c>
      <c r="R102" s="57">
        <v>24840</v>
      </c>
      <c r="S102" s="57">
        <v>21166</v>
      </c>
      <c r="T102" s="57">
        <v>24917</v>
      </c>
      <c r="U102" s="57">
        <v>27010</v>
      </c>
      <c r="V102" s="57">
        <v>21688</v>
      </c>
      <c r="W102" s="57">
        <v>16594</v>
      </c>
      <c r="X102" s="57">
        <v>23427</v>
      </c>
      <c r="Y102" s="57">
        <v>20734</v>
      </c>
      <c r="Z102" s="57">
        <v>31184</v>
      </c>
      <c r="AA102" s="57">
        <v>29788</v>
      </c>
      <c r="AB102" s="57">
        <v>26588</v>
      </c>
      <c r="AC102" s="57">
        <v>30533</v>
      </c>
      <c r="AD102" s="57">
        <v>26961</v>
      </c>
      <c r="AE102" s="57">
        <v>22733</v>
      </c>
      <c r="AF102" s="57">
        <v>26047</v>
      </c>
      <c r="AG102" s="57">
        <v>25221</v>
      </c>
      <c r="AH102" s="57">
        <v>23424</v>
      </c>
      <c r="AI102" s="57">
        <v>21915</v>
      </c>
      <c r="AJ102" s="57">
        <v>24096</v>
      </c>
      <c r="AK102" s="57">
        <v>22543</v>
      </c>
      <c r="AL102" s="57">
        <v>32028</v>
      </c>
      <c r="AM102" s="57">
        <v>30890</v>
      </c>
      <c r="AN102" s="57">
        <v>28548</v>
      </c>
      <c r="AO102" s="57">
        <v>33835</v>
      </c>
      <c r="AP102" s="57">
        <v>26958</v>
      </c>
      <c r="AQ102" s="57">
        <v>23728</v>
      </c>
      <c r="AR102" s="57">
        <v>29900</v>
      </c>
      <c r="AS102" s="57">
        <v>26344</v>
      </c>
      <c r="AT102" s="57">
        <f>304418-278870</f>
        <v>25548</v>
      </c>
      <c r="AU102" s="57">
        <v>25186</v>
      </c>
      <c r="AV102" s="57">
        <v>26415</v>
      </c>
      <c r="AW102" s="57">
        <v>25371</v>
      </c>
      <c r="AX102" s="57">
        <v>36909</v>
      </c>
      <c r="AY102" s="57">
        <v>30272</v>
      </c>
      <c r="AZ102" s="57">
        <v>32497</v>
      </c>
      <c r="BA102" s="57">
        <v>35562</v>
      </c>
      <c r="BB102" s="57">
        <v>27801</v>
      </c>
      <c r="BC102" s="57">
        <v>26102</v>
      </c>
      <c r="BD102" s="57">
        <v>29622</v>
      </c>
      <c r="BE102" s="57">
        <v>28321</v>
      </c>
      <c r="BF102" s="57">
        <v>29612</v>
      </c>
      <c r="BG102" s="57">
        <v>24836</v>
      </c>
      <c r="BH102" s="57">
        <v>28656</v>
      </c>
      <c r="BI102" s="57">
        <v>26542</v>
      </c>
      <c r="BJ102" s="57">
        <v>35517</v>
      </c>
      <c r="BK102" s="57">
        <v>31904</v>
      </c>
      <c r="BL102" s="57">
        <v>32631</v>
      </c>
      <c r="BM102" s="57">
        <v>38136</v>
      </c>
      <c r="BN102" s="57">
        <v>31552</v>
      </c>
      <c r="BO102" s="57">
        <v>33626</v>
      </c>
      <c r="BP102" s="57">
        <v>17205</v>
      </c>
      <c r="BQ102" s="57">
        <v>22603</v>
      </c>
      <c r="BR102" s="57">
        <v>23660</v>
      </c>
      <c r="BS102" s="57">
        <v>19036</v>
      </c>
      <c r="BT102" s="57">
        <v>25335</v>
      </c>
      <c r="BU102" s="57">
        <v>23710</v>
      </c>
      <c r="BV102" s="57">
        <v>32015</v>
      </c>
      <c r="BW102" s="57">
        <v>32064</v>
      </c>
      <c r="BX102" s="57">
        <v>30648</v>
      </c>
      <c r="BY102" s="57">
        <v>32613</v>
      </c>
      <c r="BZ102" s="57">
        <v>31557</v>
      </c>
      <c r="CA102" s="57">
        <v>29941</v>
      </c>
      <c r="CB102" s="57">
        <v>21101</v>
      </c>
      <c r="CC102" s="57">
        <v>25216</v>
      </c>
      <c r="CD102" s="57">
        <v>23343</v>
      </c>
      <c r="CE102" s="57">
        <v>21820</v>
      </c>
      <c r="CF102" s="57">
        <v>23028</v>
      </c>
      <c r="CG102" s="57">
        <v>21099</v>
      </c>
      <c r="CH102" s="57">
        <v>10715</v>
      </c>
      <c r="CI102" s="57">
        <v>11058</v>
      </c>
      <c r="CJ102" s="57">
        <v>20211</v>
      </c>
      <c r="CK102" s="57">
        <v>26807</v>
      </c>
      <c r="CL102" s="57">
        <v>24830</v>
      </c>
      <c r="CM102" s="57">
        <v>20949</v>
      </c>
      <c r="CN102" s="57">
        <v>22290</v>
      </c>
      <c r="CO102" s="57">
        <v>24352</v>
      </c>
      <c r="CP102" s="57">
        <v>20119</v>
      </c>
      <c r="CQ102" s="57">
        <v>23282</v>
      </c>
      <c r="CR102" s="57">
        <v>14162</v>
      </c>
      <c r="CS102" s="57">
        <v>19912</v>
      </c>
      <c r="CT102" s="57">
        <v>29610</v>
      </c>
      <c r="CU102" s="57">
        <v>22352</v>
      </c>
      <c r="CV102" s="57">
        <v>22566</v>
      </c>
      <c r="CW102" s="57">
        <v>26158</v>
      </c>
      <c r="CX102" s="57">
        <v>19977</v>
      </c>
      <c r="CY102" s="57">
        <v>17769</v>
      </c>
      <c r="CZ102" s="57">
        <v>17913</v>
      </c>
      <c r="DA102" s="57">
        <v>14790</v>
      </c>
      <c r="DB102" s="57">
        <v>17607</v>
      </c>
      <c r="DC102" s="57">
        <v>16990</v>
      </c>
    </row>
    <row r="103" spans="1:107" ht="12" customHeight="1" x14ac:dyDescent="0.25">
      <c r="A103" s="54" t="s">
        <v>20</v>
      </c>
      <c r="B103" s="57">
        <v>54059</v>
      </c>
      <c r="C103" s="57">
        <v>49490</v>
      </c>
      <c r="D103" s="57">
        <v>57926</v>
      </c>
      <c r="E103" s="57">
        <v>58196</v>
      </c>
      <c r="F103" s="57">
        <v>39279</v>
      </c>
      <c r="G103" s="57">
        <v>31888</v>
      </c>
      <c r="H103" s="57">
        <v>38048</v>
      </c>
      <c r="I103" s="57">
        <v>43989</v>
      </c>
      <c r="J103" s="57">
        <v>35567</v>
      </c>
      <c r="K103" s="57">
        <v>27636</v>
      </c>
      <c r="L103" s="57">
        <v>52999</v>
      </c>
      <c r="M103" s="57">
        <v>50263</v>
      </c>
      <c r="N103" s="57">
        <v>57581</v>
      </c>
      <c r="O103" s="57">
        <v>58539</v>
      </c>
      <c r="P103" s="57">
        <v>48151</v>
      </c>
      <c r="Q103" s="57">
        <v>47434</v>
      </c>
      <c r="R103" s="57">
        <v>39753</v>
      </c>
      <c r="S103" s="57">
        <v>31021</v>
      </c>
      <c r="T103" s="57">
        <v>39965</v>
      </c>
      <c r="U103" s="57">
        <v>42637</v>
      </c>
      <c r="V103" s="57">
        <v>33227</v>
      </c>
      <c r="W103" s="57">
        <v>30625</v>
      </c>
      <c r="X103" s="57">
        <v>50529</v>
      </c>
      <c r="Y103" s="57">
        <v>48287</v>
      </c>
      <c r="Z103" s="57">
        <v>60113</v>
      </c>
      <c r="AA103" s="57">
        <v>56469</v>
      </c>
      <c r="AB103" s="57">
        <v>44733</v>
      </c>
      <c r="AC103" s="57">
        <v>53974</v>
      </c>
      <c r="AD103" s="57">
        <v>39587</v>
      </c>
      <c r="AE103" s="57">
        <v>34736</v>
      </c>
      <c r="AF103" s="57">
        <v>37814</v>
      </c>
      <c r="AG103" s="57">
        <v>46179</v>
      </c>
      <c r="AH103" s="57">
        <v>39741</v>
      </c>
      <c r="AI103" s="57">
        <v>35555</v>
      </c>
      <c r="AJ103" s="57">
        <v>47803</v>
      </c>
      <c r="AK103" s="57">
        <v>54155</v>
      </c>
      <c r="AL103" s="57">
        <v>61463</v>
      </c>
      <c r="AM103" s="57">
        <v>60255</v>
      </c>
      <c r="AN103" s="57">
        <v>53867</v>
      </c>
      <c r="AO103" s="57">
        <v>60378</v>
      </c>
      <c r="AP103" s="57">
        <v>38514</v>
      </c>
      <c r="AQ103" s="57">
        <v>42014</v>
      </c>
      <c r="AR103" s="57">
        <v>45316</v>
      </c>
      <c r="AS103" s="57">
        <v>46244</v>
      </c>
      <c r="AT103" s="57">
        <f>555816-510009</f>
        <v>45807</v>
      </c>
      <c r="AU103" s="57">
        <v>34264</v>
      </c>
      <c r="AV103" s="57">
        <f>4108+51701</f>
        <v>55809</v>
      </c>
      <c r="AW103" s="57">
        <v>55984</v>
      </c>
      <c r="AX103" s="57">
        <v>66257</v>
      </c>
      <c r="AY103" s="57">
        <f>234046-178050</f>
        <v>55996</v>
      </c>
      <c r="AZ103" s="57">
        <v>56877</v>
      </c>
      <c r="BA103" s="57">
        <v>61309</v>
      </c>
      <c r="BB103" s="57">
        <v>41627</v>
      </c>
      <c r="BC103" s="57">
        <v>38474</v>
      </c>
      <c r="BD103" s="57">
        <v>43879</v>
      </c>
      <c r="BE103" s="57">
        <v>48170</v>
      </c>
      <c r="BF103" s="57">
        <v>44035</v>
      </c>
      <c r="BG103" s="57">
        <v>30916</v>
      </c>
      <c r="BH103" s="57">
        <v>61218</v>
      </c>
      <c r="BI103" s="57">
        <v>54825</v>
      </c>
      <c r="BJ103" s="57">
        <v>63810</v>
      </c>
      <c r="BK103" s="57">
        <v>59973</v>
      </c>
      <c r="BL103" s="57">
        <v>60360</v>
      </c>
      <c r="BM103" s="57">
        <v>61838</v>
      </c>
      <c r="BN103" s="57">
        <v>47702</v>
      </c>
      <c r="BO103" s="57">
        <v>58624</v>
      </c>
      <c r="BP103" s="57">
        <v>29741</v>
      </c>
      <c r="BQ103" s="57">
        <v>41178</v>
      </c>
      <c r="BR103" s="57">
        <v>37362</v>
      </c>
      <c r="BS103" s="57">
        <v>25812</v>
      </c>
      <c r="BT103" s="57">
        <v>55279</v>
      </c>
      <c r="BU103" s="57">
        <v>54960</v>
      </c>
      <c r="BV103" s="57">
        <v>60494</v>
      </c>
      <c r="BW103" s="57">
        <v>59139</v>
      </c>
      <c r="BX103" s="57">
        <v>56496</v>
      </c>
      <c r="BY103" s="57">
        <v>54955</v>
      </c>
      <c r="BZ103" s="57">
        <v>50194</v>
      </c>
      <c r="CA103" s="57">
        <v>51747</v>
      </c>
      <c r="CB103" s="57">
        <v>39028</v>
      </c>
      <c r="CC103" s="57">
        <v>47604</v>
      </c>
      <c r="CD103" s="57">
        <v>38521</v>
      </c>
      <c r="CE103" s="57">
        <v>35655</v>
      </c>
      <c r="CF103" s="57">
        <v>56159</v>
      </c>
      <c r="CG103" s="57">
        <v>51570</v>
      </c>
      <c r="CH103" s="57">
        <v>31599</v>
      </c>
      <c r="CI103" s="57">
        <v>6488</v>
      </c>
      <c r="CJ103" s="57">
        <v>37793</v>
      </c>
      <c r="CK103" s="57">
        <v>53789</v>
      </c>
      <c r="CL103" s="57">
        <f>44532+5509</f>
        <v>50041</v>
      </c>
      <c r="CM103" s="57">
        <f>36387+3671</f>
        <v>40058</v>
      </c>
      <c r="CN103" s="57">
        <f>36183+4073</f>
        <v>40256</v>
      </c>
      <c r="CO103" s="57">
        <f>38603+3980</f>
        <v>42583</v>
      </c>
      <c r="CP103" s="57">
        <f>29103+3808</f>
        <v>32911</v>
      </c>
      <c r="CQ103" s="57">
        <f>30078+3355</f>
        <v>33433</v>
      </c>
      <c r="CR103" s="57">
        <v>41482</v>
      </c>
      <c r="CS103" s="57">
        <v>40278</v>
      </c>
      <c r="CT103" s="57">
        <v>49933</v>
      </c>
      <c r="CU103" s="57">
        <v>41519</v>
      </c>
      <c r="CV103" s="57">
        <v>38869</v>
      </c>
      <c r="CW103" s="57">
        <v>45597</v>
      </c>
      <c r="CX103" s="57">
        <v>31580</v>
      </c>
      <c r="CY103" s="57">
        <v>29818</v>
      </c>
      <c r="CZ103" s="57">
        <v>29502</v>
      </c>
      <c r="DA103" s="57">
        <v>27997</v>
      </c>
      <c r="DB103" s="57">
        <v>27311</v>
      </c>
      <c r="DC103" s="57">
        <v>23664</v>
      </c>
    </row>
    <row r="104" spans="1:107" ht="12" customHeight="1" x14ac:dyDescent="0.25">
      <c r="A104" s="54" t="s">
        <v>43</v>
      </c>
      <c r="B104" s="57">
        <f>15206+10248+11639</f>
        <v>37093</v>
      </c>
      <c r="C104" s="57">
        <f>1631630-1593171</f>
        <v>38459</v>
      </c>
      <c r="D104" s="57">
        <f>16292+10735+9495</f>
        <v>36522</v>
      </c>
      <c r="E104" s="57">
        <f>16408+9851+13988</f>
        <v>40247</v>
      </c>
      <c r="F104" s="57">
        <f>14319+8415+11312</f>
        <v>34046</v>
      </c>
      <c r="G104" s="57">
        <f>286932-260652</f>
        <v>26280</v>
      </c>
      <c r="H104" s="57">
        <f>14592+8228+12168</f>
        <v>34988</v>
      </c>
      <c r="I104" s="57">
        <f>16872+9118+12893</f>
        <v>38883</v>
      </c>
      <c r="J104" s="57">
        <f>15899+7443+12079</f>
        <v>35421</v>
      </c>
      <c r="K104" s="57">
        <v>31575</v>
      </c>
      <c r="L104" s="57">
        <v>40350</v>
      </c>
      <c r="M104" s="57">
        <f>14759+8180+11246</f>
        <v>34185</v>
      </c>
      <c r="N104" s="57">
        <f>16814+9627+13861</f>
        <v>40302</v>
      </c>
      <c r="O104" s="57">
        <v>37945</v>
      </c>
      <c r="P104" s="57">
        <f>16872+10109+12337</f>
        <v>39318</v>
      </c>
      <c r="Q104" s="57">
        <f>17573+9203+11441</f>
        <v>38217</v>
      </c>
      <c r="R104" s="57">
        <f>11690+8016+14267</f>
        <v>33973</v>
      </c>
      <c r="S104" s="57">
        <f>14604+11444+7535</f>
        <v>33583</v>
      </c>
      <c r="T104" s="57">
        <f>14434+8404+11585</f>
        <v>34423</v>
      </c>
      <c r="U104" s="57">
        <f>16371+8836+12963</f>
        <v>38170</v>
      </c>
      <c r="V104" s="57">
        <f>15155+7222+11486</f>
        <v>33863</v>
      </c>
      <c r="W104" s="57">
        <f>15420+7091+12649</f>
        <v>35160</v>
      </c>
      <c r="X104" s="57">
        <f>16023+10523+10267</f>
        <v>36813</v>
      </c>
      <c r="Y104" s="57">
        <v>32270</v>
      </c>
      <c r="Z104" s="57">
        <f>19618+14159+11098</f>
        <v>44875</v>
      </c>
      <c r="AA104" s="57">
        <f>17148+12782+9634</f>
        <v>39564</v>
      </c>
      <c r="AB104" s="57">
        <f>17037+9117+12036</f>
        <v>38190</v>
      </c>
      <c r="AC104" s="57">
        <f>21457+8979+14207</f>
        <v>44643</v>
      </c>
      <c r="AD104" s="57">
        <v>32291</v>
      </c>
      <c r="AE104" s="57">
        <f>16348+12604+8404</f>
        <v>37356</v>
      </c>
      <c r="AF104" s="57">
        <v>45926</v>
      </c>
      <c r="AG104" s="57">
        <v>37111</v>
      </c>
      <c r="AH104" s="57">
        <f>17214+8992+12600</f>
        <v>38806</v>
      </c>
      <c r="AI104" s="57">
        <v>39370</v>
      </c>
      <c r="AJ104" s="57">
        <f>42692-3477</f>
        <v>39215</v>
      </c>
      <c r="AK104" s="57">
        <f>16611+9662+12222</f>
        <v>38495</v>
      </c>
      <c r="AL104" s="57">
        <f>19167+11643+13875</f>
        <v>44685</v>
      </c>
      <c r="AM104" s="57">
        <v>45148</v>
      </c>
      <c r="AN104" s="57">
        <f>21155+10520+12864</f>
        <v>44539</v>
      </c>
      <c r="AO104" s="57">
        <v>47983</v>
      </c>
      <c r="AP104" s="57">
        <v>35108</v>
      </c>
      <c r="AQ104" s="57">
        <f>17406+9202+13232</f>
        <v>39840</v>
      </c>
      <c r="AR104" s="57">
        <v>41988</v>
      </c>
      <c r="AS104" s="57">
        <v>38353</v>
      </c>
      <c r="AT104" s="57">
        <f>455598-415354</f>
        <v>40244</v>
      </c>
      <c r="AU104" s="57">
        <v>41161</v>
      </c>
      <c r="AV104" s="57">
        <f>13055+12742+19535</f>
        <v>45332</v>
      </c>
      <c r="AW104" s="57">
        <f>17627+9166+11788</f>
        <v>38581</v>
      </c>
      <c r="AX104" s="57">
        <v>47362</v>
      </c>
      <c r="AY104" s="57">
        <f>171313-131275</f>
        <v>40038</v>
      </c>
      <c r="AZ104" s="57">
        <v>45848</v>
      </c>
      <c r="BA104" s="57">
        <f>23959+10867+14228</f>
        <v>49054</v>
      </c>
      <c r="BB104" s="57">
        <v>35536</v>
      </c>
      <c r="BC104" s="57">
        <v>38395</v>
      </c>
      <c r="BD104" s="57">
        <v>36978</v>
      </c>
      <c r="BE104" s="57">
        <f>18568+8751+12472</f>
        <v>39791</v>
      </c>
      <c r="BF104" s="57">
        <v>41467</v>
      </c>
      <c r="BG104" s="57">
        <v>24591</v>
      </c>
      <c r="BH104" s="57">
        <v>42703</v>
      </c>
      <c r="BI104" s="57">
        <v>36578</v>
      </c>
      <c r="BJ104" s="57">
        <v>45887</v>
      </c>
      <c r="BK104" s="57">
        <v>43820</v>
      </c>
      <c r="BL104" s="57">
        <v>48091</v>
      </c>
      <c r="BM104" s="57">
        <v>50016</v>
      </c>
      <c r="BN104" s="57">
        <v>35647</v>
      </c>
      <c r="BO104" s="57">
        <v>47302</v>
      </c>
      <c r="BP104" s="57">
        <v>29223</v>
      </c>
      <c r="BQ104" s="57">
        <v>36269</v>
      </c>
      <c r="BR104" s="57">
        <v>38917</v>
      </c>
      <c r="BS104" s="57">
        <v>32533</v>
      </c>
      <c r="BT104" s="57">
        <v>42049</v>
      </c>
      <c r="BU104" s="57">
        <v>37843</v>
      </c>
      <c r="BV104" s="57">
        <v>53964</v>
      </c>
      <c r="BW104" s="57">
        <v>37188</v>
      </c>
      <c r="BX104" s="57">
        <v>43076</v>
      </c>
      <c r="BY104" s="57">
        <v>46611</v>
      </c>
      <c r="BZ104" s="57">
        <v>35107</v>
      </c>
      <c r="CA104" s="57">
        <v>40753</v>
      </c>
      <c r="CB104" s="57">
        <v>35582</v>
      </c>
      <c r="CC104" s="57">
        <v>38214</v>
      </c>
      <c r="CD104" s="57">
        <v>36823</v>
      </c>
      <c r="CE104" s="57">
        <v>34964</v>
      </c>
      <c r="CF104" s="57">
        <v>39030</v>
      </c>
      <c r="CG104" s="57">
        <v>33625</v>
      </c>
      <c r="CH104" s="57">
        <v>36829</v>
      </c>
      <c r="CI104" s="57">
        <v>23608</v>
      </c>
      <c r="CJ104" s="57">
        <v>24539</v>
      </c>
      <c r="CK104" s="57">
        <v>37389</v>
      </c>
      <c r="CL104" s="57">
        <f>18951+9103+9772</f>
        <v>37826</v>
      </c>
      <c r="CM104" s="57">
        <f>17603+8488+10802</f>
        <v>36893</v>
      </c>
      <c r="CN104" s="57">
        <v>41170</v>
      </c>
      <c r="CO104" s="57">
        <f>15067+7500+12948</f>
        <v>35515</v>
      </c>
      <c r="CP104" s="57">
        <f>18161+7378+12533</f>
        <v>38072</v>
      </c>
      <c r="CQ104" s="57">
        <f>22737+8134+20581</f>
        <v>51452</v>
      </c>
      <c r="CR104" s="57">
        <v>29931</v>
      </c>
      <c r="CS104" s="57">
        <v>28770</v>
      </c>
      <c r="CT104" s="57">
        <v>49486</v>
      </c>
      <c r="CU104" s="57">
        <v>37530</v>
      </c>
      <c r="CV104" s="57">
        <v>40849</v>
      </c>
      <c r="CW104" s="57">
        <v>50600</v>
      </c>
      <c r="CX104" s="57">
        <v>31389</v>
      </c>
      <c r="CY104" s="57">
        <v>40176</v>
      </c>
      <c r="CZ104" s="57">
        <v>38740</v>
      </c>
      <c r="DA104" s="57">
        <v>30856</v>
      </c>
      <c r="DB104" s="57">
        <v>36900</v>
      </c>
      <c r="DC104" s="57">
        <v>44858</v>
      </c>
    </row>
    <row r="105" spans="1:107" ht="12" customHeight="1" x14ac:dyDescent="0.25">
      <c r="A105" s="54" t="s">
        <v>18</v>
      </c>
      <c r="B105" s="57">
        <v>124952</v>
      </c>
      <c r="C105" s="57">
        <v>143366</v>
      </c>
      <c r="D105" s="57">
        <v>164979</v>
      </c>
      <c r="E105" s="57">
        <v>158444</v>
      </c>
      <c r="F105" s="57">
        <v>151404</v>
      </c>
      <c r="G105" s="57">
        <v>85535</v>
      </c>
      <c r="H105" s="57">
        <v>142599</v>
      </c>
      <c r="I105" s="57">
        <v>166470</v>
      </c>
      <c r="J105" s="57">
        <v>138278</v>
      </c>
      <c r="K105" s="57">
        <v>175867</v>
      </c>
      <c r="L105" s="57">
        <v>125477</v>
      </c>
      <c r="M105" s="57">
        <v>141277</v>
      </c>
      <c r="N105" s="57">
        <v>179861</v>
      </c>
      <c r="O105" s="57">
        <v>166962</v>
      </c>
      <c r="P105" s="57">
        <v>148564</v>
      </c>
      <c r="Q105" s="57">
        <f>958776-762141</f>
        <v>196635</v>
      </c>
      <c r="R105" s="57">
        <v>143753</v>
      </c>
      <c r="S105" s="57">
        <v>83322</v>
      </c>
      <c r="T105" s="57">
        <v>151476</v>
      </c>
      <c r="U105" s="57">
        <v>160150</v>
      </c>
      <c r="V105" s="57">
        <v>135057</v>
      </c>
      <c r="W105" s="57">
        <v>163379</v>
      </c>
      <c r="X105" s="57">
        <v>133170</v>
      </c>
      <c r="Y105" s="57">
        <v>147476</v>
      </c>
      <c r="Z105" s="57">
        <v>196680</v>
      </c>
      <c r="AA105" s="57">
        <v>170761</v>
      </c>
      <c r="AB105" s="57">
        <v>143056</v>
      </c>
      <c r="AC105" s="57">
        <v>226357</v>
      </c>
      <c r="AD105" s="57">
        <v>147125</v>
      </c>
      <c r="AE105" s="57">
        <v>92046</v>
      </c>
      <c r="AF105" s="57">
        <v>164769</v>
      </c>
      <c r="AG105" s="57">
        <v>161025</v>
      </c>
      <c r="AH105" s="57">
        <v>151046</v>
      </c>
      <c r="AI105" s="57">
        <v>183719</v>
      </c>
      <c r="AJ105" s="57">
        <v>137788</v>
      </c>
      <c r="AK105" s="57">
        <v>167351</v>
      </c>
      <c r="AL105" s="57">
        <v>211253</v>
      </c>
      <c r="AM105" s="57">
        <v>181820</v>
      </c>
      <c r="AN105" s="57">
        <v>176867</v>
      </c>
      <c r="AO105" s="57">
        <v>227363</v>
      </c>
      <c r="AP105" s="57">
        <v>132986</v>
      </c>
      <c r="AQ105" s="57">
        <v>98208</v>
      </c>
      <c r="AR105" s="57">
        <v>168821</v>
      </c>
      <c r="AS105" s="57">
        <v>155194</v>
      </c>
      <c r="AT105" s="57">
        <f>1820814-1657651</f>
        <v>163163</v>
      </c>
      <c r="AU105" s="57">
        <v>194372</v>
      </c>
      <c r="AV105" s="57">
        <v>153055</v>
      </c>
      <c r="AW105" s="57">
        <v>161876</v>
      </c>
      <c r="AX105" s="57">
        <v>226134</v>
      </c>
      <c r="AY105" s="57">
        <v>171868</v>
      </c>
      <c r="AZ105" s="57">
        <v>191411</v>
      </c>
      <c r="BA105" s="57">
        <v>230937</v>
      </c>
      <c r="BB105" s="57">
        <v>147505</v>
      </c>
      <c r="BC105" s="57">
        <v>107454</v>
      </c>
      <c r="BD105" s="57">
        <v>170645</v>
      </c>
      <c r="BE105" s="57">
        <v>176490</v>
      </c>
      <c r="BF105" s="57">
        <v>180008</v>
      </c>
      <c r="BG105" s="57">
        <v>193368</v>
      </c>
      <c r="BH105" s="57">
        <v>156851</v>
      </c>
      <c r="BI105" s="57">
        <v>168892</v>
      </c>
      <c r="BJ105" s="57">
        <v>231111</v>
      </c>
      <c r="BK105" s="57">
        <v>187384</v>
      </c>
      <c r="BL105" s="57">
        <v>191699</v>
      </c>
      <c r="BM105" s="57">
        <v>252219</v>
      </c>
      <c r="BN105" s="57">
        <v>175390</v>
      </c>
      <c r="BO105" s="57">
        <v>150387</v>
      </c>
      <c r="BP105" s="57">
        <v>148751</v>
      </c>
      <c r="BQ105" s="57">
        <v>173797</v>
      </c>
      <c r="BR105" s="57">
        <v>171610</v>
      </c>
      <c r="BS105" s="57">
        <v>165390</v>
      </c>
      <c r="BT105" s="57">
        <v>155080</v>
      </c>
      <c r="BU105" s="57">
        <v>172437</v>
      </c>
      <c r="BV105" s="57">
        <v>225818</v>
      </c>
      <c r="BW105" s="57">
        <v>188200</v>
      </c>
      <c r="BX105" s="57">
        <v>193938</v>
      </c>
      <c r="BY105" s="57">
        <v>230972</v>
      </c>
      <c r="BZ105" s="57">
        <v>172225</v>
      </c>
      <c r="CA105" s="57">
        <v>129342</v>
      </c>
      <c r="CB105" s="57">
        <v>173356</v>
      </c>
      <c r="CC105" s="57">
        <v>188988</v>
      </c>
      <c r="CD105" s="57">
        <v>172733</v>
      </c>
      <c r="CE105" s="57">
        <v>211339</v>
      </c>
      <c r="CF105" s="57">
        <v>134232</v>
      </c>
      <c r="CG105" s="57">
        <v>167778</v>
      </c>
      <c r="CH105" s="57">
        <v>62667</v>
      </c>
      <c r="CI105" s="57">
        <v>20997</v>
      </c>
      <c r="CJ105" s="57">
        <v>96310</v>
      </c>
      <c r="CK105" s="57">
        <v>233818</v>
      </c>
      <c r="CL105" s="57">
        <v>178976</v>
      </c>
      <c r="CM105" s="57">
        <v>103629</v>
      </c>
      <c r="CN105" s="57">
        <v>168290</v>
      </c>
      <c r="CO105" s="57">
        <v>171048</v>
      </c>
      <c r="CP105" s="57">
        <v>126114</v>
      </c>
      <c r="CQ105" s="57">
        <v>186257</v>
      </c>
      <c r="CR105" s="57">
        <v>126397</v>
      </c>
      <c r="CS105" s="57">
        <v>132620</v>
      </c>
      <c r="CT105" s="57">
        <v>182830</v>
      </c>
      <c r="CU105" s="57">
        <v>140427</v>
      </c>
      <c r="CV105" s="57">
        <v>140983</v>
      </c>
      <c r="CW105" s="57">
        <v>199509</v>
      </c>
      <c r="CX105" s="57">
        <v>115417</v>
      </c>
      <c r="CY105" s="57">
        <v>88675</v>
      </c>
      <c r="CZ105" s="57">
        <v>133629</v>
      </c>
      <c r="DA105" s="57">
        <v>118528</v>
      </c>
      <c r="DB105" s="57">
        <v>122001</v>
      </c>
      <c r="DC105" s="57">
        <v>158130</v>
      </c>
    </row>
    <row r="106" spans="1:107" ht="12" customHeight="1" x14ac:dyDescent="0.25">
      <c r="A106" s="54" t="s">
        <v>15</v>
      </c>
      <c r="B106" s="57">
        <v>192090</v>
      </c>
      <c r="C106" s="57">
        <f>392773-192090</f>
        <v>200683</v>
      </c>
      <c r="D106" s="57">
        <v>281184</v>
      </c>
      <c r="E106" s="57">
        <v>284444</v>
      </c>
      <c r="F106" s="57">
        <v>253146</v>
      </c>
      <c r="G106" s="57">
        <v>214044</v>
      </c>
      <c r="H106" s="57">
        <v>247199</v>
      </c>
      <c r="I106" s="57">
        <v>265441</v>
      </c>
      <c r="J106" s="57">
        <v>254651</v>
      </c>
      <c r="K106" s="57">
        <v>215320</v>
      </c>
      <c r="L106" s="57">
        <v>205996</v>
      </c>
      <c r="M106" s="57">
        <v>209349</v>
      </c>
      <c r="N106" s="57">
        <v>296408</v>
      </c>
      <c r="O106" s="57">
        <v>274097</v>
      </c>
      <c r="P106" s="57">
        <v>274804</v>
      </c>
      <c r="Q106" s="57">
        <f>1538268-1260654</f>
        <v>277614</v>
      </c>
      <c r="R106" s="57">
        <v>270249</v>
      </c>
      <c r="S106" s="57">
        <v>213092</v>
      </c>
      <c r="T106" s="57">
        <v>260062</v>
      </c>
      <c r="U106" s="57">
        <v>275320</v>
      </c>
      <c r="V106" s="57">
        <v>250082</v>
      </c>
      <c r="W106" s="57">
        <v>229700</v>
      </c>
      <c r="X106" s="57">
        <v>211337</v>
      </c>
      <c r="Y106" s="57">
        <v>223254</v>
      </c>
      <c r="Z106" s="57">
        <v>323039</v>
      </c>
      <c r="AA106" s="57">
        <v>291395</v>
      </c>
      <c r="AB106" s="57">
        <v>256385</v>
      </c>
      <c r="AC106" s="57">
        <v>313539</v>
      </c>
      <c r="AD106" s="57">
        <v>290196</v>
      </c>
      <c r="AE106" s="57">
        <v>226314</v>
      </c>
      <c r="AF106" s="57">
        <v>272479</v>
      </c>
      <c r="AG106" s="57">
        <v>278372</v>
      </c>
      <c r="AH106" s="57">
        <v>272377</v>
      </c>
      <c r="AI106" s="57">
        <v>247355</v>
      </c>
      <c r="AJ106" s="57">
        <v>218365</v>
      </c>
      <c r="AK106" s="57">
        <v>250302</v>
      </c>
      <c r="AL106" s="57">
        <v>322757</v>
      </c>
      <c r="AM106" s="57">
        <v>315921</v>
      </c>
      <c r="AN106" s="57">
        <v>286931</v>
      </c>
      <c r="AO106" s="57">
        <v>339563</v>
      </c>
      <c r="AP106" s="57">
        <v>278866</v>
      </c>
      <c r="AQ106" s="57">
        <v>245076</v>
      </c>
      <c r="AR106" s="57">
        <v>298002</v>
      </c>
      <c r="AS106" s="57">
        <v>262724</v>
      </c>
      <c r="AT106" s="57">
        <f>3095074-2818507</f>
        <v>276567</v>
      </c>
      <c r="AU106" s="57">
        <v>256533</v>
      </c>
      <c r="AV106" s="57">
        <v>241399</v>
      </c>
      <c r="AW106" s="57">
        <v>243602</v>
      </c>
      <c r="AX106" s="57">
        <v>359683</v>
      </c>
      <c r="AY106" s="57">
        <v>290697</v>
      </c>
      <c r="AZ106" s="57">
        <v>323952</v>
      </c>
      <c r="BA106" s="57">
        <v>327693</v>
      </c>
      <c r="BB106" s="57">
        <v>283080</v>
      </c>
      <c r="BC106" s="57">
        <v>253679</v>
      </c>
      <c r="BD106" s="57">
        <v>288036</v>
      </c>
      <c r="BE106" s="57">
        <v>272855</v>
      </c>
      <c r="BF106" s="57">
        <v>302636</v>
      </c>
      <c r="BG106" s="57">
        <v>253950</v>
      </c>
      <c r="BH106" s="57">
        <v>269429</v>
      </c>
      <c r="BI106" s="57">
        <v>261749</v>
      </c>
      <c r="BJ106" s="57">
        <v>347433</v>
      </c>
      <c r="BK106" s="57">
        <v>314055</v>
      </c>
      <c r="BL106" s="57">
        <v>305057</v>
      </c>
      <c r="BM106" s="57">
        <v>341308</v>
      </c>
      <c r="BN106" s="57">
        <v>317848</v>
      </c>
      <c r="BO106" s="57">
        <v>316405</v>
      </c>
      <c r="BP106" s="57">
        <v>200134</v>
      </c>
      <c r="BQ106" s="57">
        <v>252628</v>
      </c>
      <c r="BR106" s="57">
        <v>272674</v>
      </c>
      <c r="BS106" s="57">
        <v>237058</v>
      </c>
      <c r="BT106" s="57">
        <v>265702</v>
      </c>
      <c r="BU106" s="57">
        <v>268867</v>
      </c>
      <c r="BV106" s="57">
        <v>345631</v>
      </c>
      <c r="BW106" s="57">
        <v>310607</v>
      </c>
      <c r="BX106" s="57">
        <v>332962</v>
      </c>
      <c r="BY106" s="57">
        <v>325231</v>
      </c>
      <c r="BZ106" s="57">
        <v>332788</v>
      </c>
      <c r="CA106" s="57">
        <v>313748</v>
      </c>
      <c r="CB106" s="57">
        <v>244622</v>
      </c>
      <c r="CC106" s="57">
        <v>284593</v>
      </c>
      <c r="CD106" s="57">
        <v>299127</v>
      </c>
      <c r="CE106" s="57">
        <v>283380</v>
      </c>
      <c r="CF106" s="57">
        <v>246300</v>
      </c>
      <c r="CG106" s="57">
        <v>239943</v>
      </c>
      <c r="CH106" s="57">
        <v>215119</v>
      </c>
      <c r="CI106" s="57">
        <v>120840</v>
      </c>
      <c r="CJ106" s="57">
        <v>168148</v>
      </c>
      <c r="CK106" s="57">
        <v>220272</v>
      </c>
      <c r="CL106" s="57">
        <v>314938</v>
      </c>
      <c r="CM106" s="57">
        <v>251044</v>
      </c>
      <c r="CN106" s="57">
        <v>265227</v>
      </c>
      <c r="CO106" s="57">
        <v>274303</v>
      </c>
      <c r="CP106" s="57">
        <v>290150</v>
      </c>
      <c r="CQ106" s="57">
        <v>311394</v>
      </c>
      <c r="CR106" s="57">
        <v>169754</v>
      </c>
      <c r="CS106" s="57">
        <v>194349</v>
      </c>
      <c r="CT106" s="57">
        <v>292359</v>
      </c>
      <c r="CU106" s="57">
        <v>229640</v>
      </c>
      <c r="CV106" s="57">
        <v>230635</v>
      </c>
      <c r="CW106" s="57">
        <v>274152</v>
      </c>
      <c r="CX106" s="57">
        <v>236393</v>
      </c>
      <c r="CY106" s="57">
        <v>193307</v>
      </c>
      <c r="CZ106" s="57">
        <v>196972</v>
      </c>
      <c r="DA106" s="57">
        <v>178683</v>
      </c>
      <c r="DB106" s="57">
        <v>198258</v>
      </c>
      <c r="DC106" s="57">
        <v>227630</v>
      </c>
    </row>
    <row r="107" spans="1:107" ht="12" customHeight="1" x14ac:dyDescent="0.25">
      <c r="A107" s="54" t="s">
        <v>44</v>
      </c>
      <c r="B107" s="57">
        <v>5533</v>
      </c>
      <c r="C107" s="57">
        <v>4116</v>
      </c>
      <c r="D107" s="57">
        <v>4494</v>
      </c>
      <c r="E107" s="57">
        <v>5332</v>
      </c>
      <c r="F107" s="57">
        <v>6494</v>
      </c>
      <c r="G107" s="57">
        <f>40199-36858</f>
        <v>3341</v>
      </c>
      <c r="H107" s="57">
        <f>44013-40199</f>
        <v>3814</v>
      </c>
      <c r="I107" s="57">
        <f>48983-44013</f>
        <v>4970</v>
      </c>
      <c r="J107" s="57">
        <f>54447-48983</f>
        <v>5464</v>
      </c>
      <c r="K107" s="57">
        <v>4248</v>
      </c>
      <c r="L107" s="57">
        <v>6400</v>
      </c>
      <c r="M107" s="57">
        <v>4342</v>
      </c>
      <c r="N107" s="57">
        <v>5865</v>
      </c>
      <c r="O107" s="57">
        <v>5439</v>
      </c>
      <c r="P107" s="57">
        <v>7459</v>
      </c>
      <c r="Q107" s="57">
        <f>37469-29505</f>
        <v>7964</v>
      </c>
      <c r="R107" s="57">
        <f>45096-37469</f>
        <v>7627</v>
      </c>
      <c r="S107" s="57">
        <v>3693</v>
      </c>
      <c r="T107" s="57">
        <v>5055</v>
      </c>
      <c r="U107" s="57">
        <v>6003</v>
      </c>
      <c r="V107" s="57">
        <v>4983</v>
      </c>
      <c r="W107" s="57">
        <v>6388</v>
      </c>
      <c r="X107" s="57">
        <v>5848</v>
      </c>
      <c r="Y107" s="57">
        <v>4894</v>
      </c>
      <c r="Z107" s="57">
        <v>6529</v>
      </c>
      <c r="AA107" s="57">
        <v>7801</v>
      </c>
      <c r="AB107" s="57">
        <v>9070</v>
      </c>
      <c r="AC107" s="57">
        <v>9000</v>
      </c>
      <c r="AD107" s="57">
        <v>5447</v>
      </c>
      <c r="AE107" s="57">
        <v>4470</v>
      </c>
      <c r="AF107" s="57">
        <v>5125</v>
      </c>
      <c r="AG107" s="57">
        <v>4946</v>
      </c>
      <c r="AH107" s="57">
        <v>5859</v>
      </c>
      <c r="AI107" s="57">
        <v>6816</v>
      </c>
      <c r="AJ107" s="57">
        <v>5700</v>
      </c>
      <c r="AK107" s="57">
        <v>3310</v>
      </c>
      <c r="AL107" s="57">
        <v>6316</v>
      </c>
      <c r="AM107" s="57">
        <v>9735</v>
      </c>
      <c r="AN107" s="57">
        <v>13489</v>
      </c>
      <c r="AO107" s="57">
        <v>8863</v>
      </c>
      <c r="AP107" s="57">
        <v>7034</v>
      </c>
      <c r="AQ107" s="57">
        <v>4174</v>
      </c>
      <c r="AR107" s="57">
        <v>4595</v>
      </c>
      <c r="AS107" s="57">
        <v>4995</v>
      </c>
      <c r="AT107" s="57">
        <f>74108-68211</f>
        <v>5897</v>
      </c>
      <c r="AU107" s="57">
        <v>4765</v>
      </c>
      <c r="AV107" s="57">
        <v>6460</v>
      </c>
      <c r="AW107" s="57">
        <v>5192</v>
      </c>
      <c r="AX107" s="57">
        <v>9445</v>
      </c>
      <c r="AY107" s="57">
        <v>8452</v>
      </c>
      <c r="AZ107" s="57">
        <v>10666</v>
      </c>
      <c r="BA107" s="57">
        <v>10141</v>
      </c>
      <c r="BB107" s="57">
        <v>8421</v>
      </c>
      <c r="BC107" s="57">
        <v>5134</v>
      </c>
      <c r="BD107" s="57">
        <v>5947</v>
      </c>
      <c r="BE107" s="57">
        <v>6306</v>
      </c>
      <c r="BF107" s="57">
        <v>6523</v>
      </c>
      <c r="BG107" s="57">
        <v>5396</v>
      </c>
      <c r="BH107" s="57">
        <v>8885</v>
      </c>
      <c r="BI107" s="57">
        <v>6838</v>
      </c>
      <c r="BJ107" s="57">
        <v>11058</v>
      </c>
      <c r="BK107" s="57">
        <v>10493</v>
      </c>
      <c r="BL107" s="57">
        <v>12467</v>
      </c>
      <c r="BM107" s="57">
        <v>12571</v>
      </c>
      <c r="BN107" s="57">
        <v>9124</v>
      </c>
      <c r="BO107" s="57">
        <v>7718</v>
      </c>
      <c r="BP107" s="57">
        <v>4922</v>
      </c>
      <c r="BQ107" s="57">
        <v>7125</v>
      </c>
      <c r="BR107" s="57">
        <v>6893</v>
      </c>
      <c r="BS107" s="57">
        <v>5337</v>
      </c>
      <c r="BT107" s="57">
        <v>9210</v>
      </c>
      <c r="BU107" s="57">
        <v>7561</v>
      </c>
      <c r="BV107" s="57">
        <v>9518</v>
      </c>
      <c r="BW107" s="57">
        <v>12303</v>
      </c>
      <c r="BX107" s="57">
        <v>13832</v>
      </c>
      <c r="BY107" s="57">
        <v>13133</v>
      </c>
      <c r="BZ107" s="57">
        <v>11839</v>
      </c>
      <c r="CA107" s="57">
        <v>9477</v>
      </c>
      <c r="CB107" s="57">
        <v>5899</v>
      </c>
      <c r="CC107" s="57">
        <v>7276</v>
      </c>
      <c r="CD107" s="57">
        <v>7464</v>
      </c>
      <c r="CE107" s="57">
        <v>6598</v>
      </c>
      <c r="CF107" s="57">
        <v>9794</v>
      </c>
      <c r="CG107" s="57">
        <v>7846</v>
      </c>
      <c r="CH107" s="57">
        <v>3750</v>
      </c>
      <c r="CI107" s="57">
        <v>2434</v>
      </c>
      <c r="CJ107" s="57">
        <v>4497</v>
      </c>
      <c r="CK107" s="57">
        <v>8249</v>
      </c>
      <c r="CL107" s="57">
        <v>7314</v>
      </c>
      <c r="CM107" s="57">
        <v>6853</v>
      </c>
      <c r="CN107" s="57">
        <v>7107</v>
      </c>
      <c r="CO107" s="57">
        <v>6776</v>
      </c>
      <c r="CP107" s="57">
        <v>7641</v>
      </c>
      <c r="CQ107" s="57">
        <v>6514</v>
      </c>
      <c r="CR107" s="57">
        <v>7766</v>
      </c>
      <c r="CS107" s="57">
        <v>6689</v>
      </c>
      <c r="CT107" s="57">
        <v>8984</v>
      </c>
      <c r="CU107" s="57">
        <v>10198</v>
      </c>
      <c r="CV107" s="57">
        <v>10850</v>
      </c>
      <c r="CW107" s="57">
        <v>13875</v>
      </c>
      <c r="CX107" s="57">
        <v>10586</v>
      </c>
      <c r="CY107" s="57">
        <v>6198</v>
      </c>
      <c r="CZ107" s="57">
        <v>6612</v>
      </c>
      <c r="DA107" s="57">
        <v>6409</v>
      </c>
      <c r="DB107" s="57">
        <v>7095</v>
      </c>
      <c r="DC107" s="57">
        <v>5654</v>
      </c>
    </row>
    <row r="108" spans="1:107" ht="12" customHeight="1" x14ac:dyDescent="0.25">
      <c r="A108" s="54" t="s">
        <v>45</v>
      </c>
      <c r="B108" s="57">
        <v>17293</v>
      </c>
      <c r="C108" s="57">
        <f>27910-17283</f>
        <v>10627</v>
      </c>
      <c r="D108" s="57">
        <v>11672</v>
      </c>
      <c r="E108" s="57">
        <v>6159</v>
      </c>
      <c r="F108" s="57">
        <v>11640</v>
      </c>
      <c r="G108" s="57">
        <f>68724-65026</f>
        <v>3698</v>
      </c>
      <c r="H108" s="57">
        <f>71899-68724</f>
        <v>3175</v>
      </c>
      <c r="I108" s="57">
        <f>73391-71899</f>
        <v>1492</v>
      </c>
      <c r="J108" s="57">
        <f>74092-73391</f>
        <v>701</v>
      </c>
      <c r="K108" s="57">
        <v>211</v>
      </c>
      <c r="L108" s="57">
        <v>22927</v>
      </c>
      <c r="M108" s="57">
        <v>12719</v>
      </c>
      <c r="N108" s="57">
        <v>14314</v>
      </c>
      <c r="O108" s="57">
        <v>7924</v>
      </c>
      <c r="P108" s="57">
        <v>6291</v>
      </c>
      <c r="Q108" s="57">
        <f>65864-64175</f>
        <v>1689</v>
      </c>
      <c r="R108" s="57">
        <f>84640-65864</f>
        <v>18776</v>
      </c>
      <c r="S108" s="57">
        <v>4873</v>
      </c>
      <c r="T108" s="57">
        <v>3673</v>
      </c>
      <c r="U108" s="57">
        <v>2034</v>
      </c>
      <c r="V108" s="57">
        <v>1039</v>
      </c>
      <c r="W108" s="57">
        <v>279</v>
      </c>
      <c r="X108" s="57">
        <v>29898</v>
      </c>
      <c r="Y108" s="57">
        <v>15840</v>
      </c>
      <c r="Z108" s="57">
        <v>18978</v>
      </c>
      <c r="AA108" s="57">
        <v>9285</v>
      </c>
      <c r="AB108" s="57">
        <v>6912</v>
      </c>
      <c r="AC108" s="57">
        <v>1424</v>
      </c>
      <c r="AD108" s="57">
        <v>27623</v>
      </c>
      <c r="AE108" s="57">
        <v>6390</v>
      </c>
      <c r="AF108" s="57">
        <v>5200</v>
      </c>
      <c r="AG108" s="57">
        <v>2113</v>
      </c>
      <c r="AH108" s="57">
        <v>942</v>
      </c>
      <c r="AI108" s="57">
        <v>340</v>
      </c>
      <c r="AJ108" s="57">
        <v>39812</v>
      </c>
      <c r="AK108" s="57">
        <v>21538</v>
      </c>
      <c r="AL108" s="57">
        <v>21502</v>
      </c>
      <c r="AM108" s="57">
        <v>10381</v>
      </c>
      <c r="AN108" s="57">
        <v>6506</v>
      </c>
      <c r="AO108" s="57">
        <v>1599</v>
      </c>
      <c r="AP108" s="57">
        <v>29926</v>
      </c>
      <c r="AQ108" s="57">
        <v>7274</v>
      </c>
      <c r="AR108" s="57">
        <v>4667</v>
      </c>
      <c r="AS108" s="57">
        <v>2228</v>
      </c>
      <c r="AT108" s="57">
        <f>146175-145433</f>
        <v>742</v>
      </c>
      <c r="AU108" s="57">
        <v>497</v>
      </c>
      <c r="AV108" s="57">
        <v>39019</v>
      </c>
      <c r="AW108" s="57">
        <v>17091</v>
      </c>
      <c r="AX108" s="57">
        <v>19857</v>
      </c>
      <c r="AY108" s="57">
        <v>7851</v>
      </c>
      <c r="AZ108" s="57">
        <v>5973</v>
      </c>
      <c r="BA108" s="57">
        <v>1398</v>
      </c>
      <c r="BB108" s="57">
        <v>27736</v>
      </c>
      <c r="BC108" s="57">
        <v>5786</v>
      </c>
      <c r="BD108" s="57">
        <v>3886</v>
      </c>
      <c r="BE108" s="57">
        <v>1905</v>
      </c>
      <c r="BF108" s="57">
        <v>698</v>
      </c>
      <c r="BG108" s="57">
        <v>156</v>
      </c>
      <c r="BH108" s="57">
        <v>37125</v>
      </c>
      <c r="BI108" s="57">
        <v>17018</v>
      </c>
      <c r="BJ108" s="57">
        <v>17699</v>
      </c>
      <c r="BK108" s="57">
        <v>8055</v>
      </c>
      <c r="BL108" s="57">
        <v>6036</v>
      </c>
      <c r="BM108" s="57">
        <v>1218</v>
      </c>
      <c r="BN108" s="57">
        <v>26908</v>
      </c>
      <c r="BO108" s="57">
        <v>5878</v>
      </c>
      <c r="BP108" s="57">
        <v>3162</v>
      </c>
      <c r="BQ108" s="57">
        <v>1710</v>
      </c>
      <c r="BR108" s="57">
        <v>607</v>
      </c>
      <c r="BS108" s="57">
        <v>141</v>
      </c>
      <c r="BT108" s="57">
        <v>32374</v>
      </c>
      <c r="BU108" s="57">
        <v>15030</v>
      </c>
      <c r="BV108" s="57">
        <v>16694</v>
      </c>
      <c r="BW108" s="57">
        <v>8946</v>
      </c>
      <c r="BX108" s="57">
        <v>6299</v>
      </c>
      <c r="BY108" s="57">
        <v>1369</v>
      </c>
      <c r="BZ108" s="57">
        <v>24729</v>
      </c>
      <c r="CA108" s="57">
        <v>5131</v>
      </c>
      <c r="CB108" s="57">
        <v>3386</v>
      </c>
      <c r="CC108" s="57">
        <v>2171</v>
      </c>
      <c r="CD108" s="57">
        <v>759</v>
      </c>
      <c r="CE108" s="57">
        <v>212</v>
      </c>
      <c r="CF108" s="57">
        <v>31163</v>
      </c>
      <c r="CG108" s="57">
        <v>13933</v>
      </c>
      <c r="CH108" s="57">
        <v>5919</v>
      </c>
      <c r="CI108" s="57">
        <v>612</v>
      </c>
      <c r="CJ108" s="57">
        <v>1720</v>
      </c>
      <c r="CK108" s="57">
        <v>1009</v>
      </c>
      <c r="CL108" s="57">
        <v>19711</v>
      </c>
      <c r="CM108" s="57">
        <v>4851</v>
      </c>
      <c r="CN108" s="57">
        <v>5615</v>
      </c>
      <c r="CO108" s="57">
        <v>2335</v>
      </c>
      <c r="CP108" s="57">
        <v>858</v>
      </c>
      <c r="CQ108" s="57">
        <v>596</v>
      </c>
      <c r="CR108" s="57">
        <v>25191</v>
      </c>
      <c r="CS108" s="57">
        <v>13795</v>
      </c>
      <c r="CT108" s="57">
        <v>9202</v>
      </c>
      <c r="CU108" s="57">
        <v>7019</v>
      </c>
      <c r="CV108" s="57">
        <v>5940</v>
      </c>
      <c r="CW108" s="57">
        <v>2720</v>
      </c>
      <c r="CX108" s="57">
        <v>26475</v>
      </c>
      <c r="CY108" s="57">
        <v>5967</v>
      </c>
      <c r="CZ108" s="57">
        <v>4337</v>
      </c>
      <c r="DA108" s="57">
        <v>2607</v>
      </c>
      <c r="DB108" s="57">
        <v>1310</v>
      </c>
      <c r="DC108" s="57">
        <v>369</v>
      </c>
    </row>
    <row r="109" spans="1:107" ht="12" customHeight="1" x14ac:dyDescent="0.25">
      <c r="A109" s="54" t="s">
        <v>16</v>
      </c>
      <c r="B109" s="57">
        <v>113525</v>
      </c>
      <c r="C109" s="57">
        <f>222406-113525</f>
        <v>108881</v>
      </c>
      <c r="D109" s="57">
        <v>132525</v>
      </c>
      <c r="E109" s="57">
        <v>116819</v>
      </c>
      <c r="F109" s="57">
        <v>108278</v>
      </c>
      <c r="G109" s="57">
        <v>53556</v>
      </c>
      <c r="H109" s="57">
        <v>106986</v>
      </c>
      <c r="I109" s="57">
        <v>111497</v>
      </c>
      <c r="J109" s="57">
        <v>102717</v>
      </c>
      <c r="K109" s="57">
        <v>89297</v>
      </c>
      <c r="L109" s="57">
        <v>117802</v>
      </c>
      <c r="M109" s="57">
        <v>118698</v>
      </c>
      <c r="N109" s="57">
        <v>140019</v>
      </c>
      <c r="O109" s="57">
        <v>119799</v>
      </c>
      <c r="P109" s="57">
        <v>132401</v>
      </c>
      <c r="Q109" s="57">
        <f>756818-628719</f>
        <v>128099</v>
      </c>
      <c r="R109" s="57">
        <v>114516</v>
      </c>
      <c r="S109" s="57">
        <v>54059</v>
      </c>
      <c r="T109" s="57">
        <v>111106</v>
      </c>
      <c r="U109" s="57">
        <v>122397</v>
      </c>
      <c r="V109" s="57">
        <v>108621</v>
      </c>
      <c r="W109" s="57">
        <v>92099</v>
      </c>
      <c r="X109" s="57">
        <v>131385</v>
      </c>
      <c r="Y109" s="57">
        <v>135170</v>
      </c>
      <c r="Z109" s="57">
        <v>161909</v>
      </c>
      <c r="AA109" s="57">
        <v>149624</v>
      </c>
      <c r="AB109" s="57">
        <v>147428</v>
      </c>
      <c r="AC109" s="57">
        <v>147435</v>
      </c>
      <c r="AD109" s="57">
        <v>132458</v>
      </c>
      <c r="AE109" s="57">
        <v>60147</v>
      </c>
      <c r="AF109" s="57">
        <v>130714</v>
      </c>
      <c r="AG109" s="57">
        <v>133735</v>
      </c>
      <c r="AH109" s="57">
        <v>134742</v>
      </c>
      <c r="AI109" s="57">
        <v>110125</v>
      </c>
      <c r="AJ109" s="57">
        <v>155157</v>
      </c>
      <c r="AK109" s="57">
        <v>172806</v>
      </c>
      <c r="AL109" s="57">
        <v>191160</v>
      </c>
      <c r="AM109" s="57">
        <v>167898</v>
      </c>
      <c r="AN109" s="57">
        <v>188757</v>
      </c>
      <c r="AO109" s="57">
        <v>166076</v>
      </c>
      <c r="AP109" s="57">
        <v>137214</v>
      </c>
      <c r="AQ109" s="57">
        <v>72738</v>
      </c>
      <c r="AR109" s="57">
        <v>154229</v>
      </c>
      <c r="AS109" s="57">
        <v>147359</v>
      </c>
      <c r="AT109" s="57">
        <f>1699944-1553394</f>
        <v>146550</v>
      </c>
      <c r="AU109" s="57">
        <v>125024</v>
      </c>
      <c r="AV109" s="57">
        <v>171556</v>
      </c>
      <c r="AW109" s="57">
        <v>184100</v>
      </c>
      <c r="AX109" s="57">
        <v>226809</v>
      </c>
      <c r="AY109" s="57">
        <v>160856</v>
      </c>
      <c r="AZ109" s="57">
        <v>204730</v>
      </c>
      <c r="BA109" s="57">
        <v>188280</v>
      </c>
      <c r="BB109" s="57">
        <v>146022</v>
      </c>
      <c r="BC109" s="57">
        <v>84036</v>
      </c>
      <c r="BD109" s="57">
        <v>167321</v>
      </c>
      <c r="BE109" s="57">
        <v>158337</v>
      </c>
      <c r="BF109" s="57">
        <v>156872</v>
      </c>
      <c r="BG109" s="57">
        <v>121578</v>
      </c>
      <c r="BH109" s="57">
        <v>177822</v>
      </c>
      <c r="BI109" s="57">
        <v>182085</v>
      </c>
      <c r="BJ109" s="57">
        <v>214223</v>
      </c>
      <c r="BK109" s="57">
        <v>171815</v>
      </c>
      <c r="BL109" s="57">
        <v>199732</v>
      </c>
      <c r="BM109" s="57">
        <v>175152</v>
      </c>
      <c r="BN109" s="57">
        <v>152901</v>
      </c>
      <c r="BO109" s="57">
        <v>92217</v>
      </c>
      <c r="BP109" s="57">
        <v>125314</v>
      </c>
      <c r="BQ109" s="57">
        <v>147103</v>
      </c>
      <c r="BR109" s="57">
        <v>147358</v>
      </c>
      <c r="BS109" s="57">
        <v>124303</v>
      </c>
      <c r="BT109" s="57">
        <v>164864</v>
      </c>
      <c r="BU109" s="57">
        <v>178146</v>
      </c>
      <c r="BV109" s="57">
        <v>194279</v>
      </c>
      <c r="BW109" s="57">
        <v>174907</v>
      </c>
      <c r="BX109" s="57">
        <v>197897</v>
      </c>
      <c r="BY109" s="57">
        <v>172104</v>
      </c>
      <c r="BZ109" s="57">
        <v>153501</v>
      </c>
      <c r="CA109" s="57">
        <v>89464</v>
      </c>
      <c r="CB109" s="57">
        <v>142506</v>
      </c>
      <c r="CC109" s="57">
        <v>157254</v>
      </c>
      <c r="CD109" s="57">
        <v>150962</v>
      </c>
      <c r="CE109" s="57">
        <v>140436</v>
      </c>
      <c r="CF109" s="57">
        <v>155528</v>
      </c>
      <c r="CG109" s="57">
        <v>163017</v>
      </c>
      <c r="CH109" s="57">
        <v>28648</v>
      </c>
      <c r="CI109" s="57">
        <v>4418</v>
      </c>
      <c r="CJ109" s="57">
        <v>99755</v>
      </c>
      <c r="CK109" s="57">
        <v>132594</v>
      </c>
      <c r="CL109" s="57">
        <v>136660</v>
      </c>
      <c r="CM109" s="57">
        <v>89035</v>
      </c>
      <c r="CN109" s="57">
        <v>156362</v>
      </c>
      <c r="CO109" s="57">
        <v>157177</v>
      </c>
      <c r="CP109" s="57">
        <v>138608</v>
      </c>
      <c r="CQ109" s="57">
        <v>119694</v>
      </c>
      <c r="CR109" s="57">
        <v>134001</v>
      </c>
      <c r="CS109" s="57">
        <v>143144</v>
      </c>
      <c r="CT109" s="57">
        <v>169833</v>
      </c>
      <c r="CU109" s="57">
        <v>145203</v>
      </c>
      <c r="CV109" s="57">
        <v>142944</v>
      </c>
      <c r="CW109" s="57">
        <v>149625</v>
      </c>
      <c r="CX109" s="57">
        <v>110489</v>
      </c>
      <c r="CY109" s="57">
        <v>64943</v>
      </c>
      <c r="CZ109" s="57">
        <v>105309</v>
      </c>
      <c r="DA109" s="57">
        <v>101138</v>
      </c>
      <c r="DB109" s="57">
        <v>104537</v>
      </c>
      <c r="DC109" s="57">
        <v>86786</v>
      </c>
    </row>
    <row r="110" spans="1:107" ht="12" customHeight="1" x14ac:dyDescent="0.25">
      <c r="A110" s="54" t="s">
        <v>46</v>
      </c>
      <c r="B110" s="57">
        <v>48036</v>
      </c>
      <c r="C110" s="57">
        <f>80187-48036</f>
        <v>32151</v>
      </c>
      <c r="D110" s="57">
        <v>35890</v>
      </c>
      <c r="E110" s="57">
        <v>30538</v>
      </c>
      <c r="F110" s="57">
        <v>30666</v>
      </c>
      <c r="G110" s="57">
        <f>271278-242655</f>
        <v>28623</v>
      </c>
      <c r="H110" s="57">
        <f>302782-271278</f>
        <v>31504</v>
      </c>
      <c r="I110" s="57">
        <f>338007-302782</f>
        <v>35225</v>
      </c>
      <c r="J110" s="57">
        <f>378372-338007</f>
        <v>40365</v>
      </c>
      <c r="K110" s="57">
        <v>38664</v>
      </c>
      <c r="L110" s="57">
        <v>44568</v>
      </c>
      <c r="M110" s="57">
        <v>33434</v>
      </c>
      <c r="N110" s="57">
        <v>29263</v>
      </c>
      <c r="O110" s="57">
        <v>28937</v>
      </c>
      <c r="P110" s="57">
        <v>30226</v>
      </c>
      <c r="Q110" s="57">
        <f>200244-166428</f>
        <v>33816</v>
      </c>
      <c r="R110" s="57">
        <v>29867</v>
      </c>
      <c r="S110" s="57">
        <v>24339</v>
      </c>
      <c r="T110" s="57">
        <v>31597</v>
      </c>
      <c r="U110" s="57">
        <v>33487</v>
      </c>
      <c r="V110" s="57">
        <v>34444</v>
      </c>
      <c r="W110" s="57">
        <v>33857</v>
      </c>
      <c r="X110" s="57">
        <v>47946</v>
      </c>
      <c r="Y110" s="57">
        <v>33650</v>
      </c>
      <c r="Z110" s="57">
        <v>28552</v>
      </c>
      <c r="AA110" s="57">
        <v>26746</v>
      </c>
      <c r="AB110" s="57">
        <v>27908</v>
      </c>
      <c r="AC110" s="57">
        <v>36790</v>
      </c>
      <c r="AD110" s="57">
        <v>34538</v>
      </c>
      <c r="AE110" s="57">
        <v>30246</v>
      </c>
      <c r="AF110" s="57">
        <v>34962</v>
      </c>
      <c r="AG110" s="57">
        <v>38719</v>
      </c>
      <c r="AH110" s="57">
        <v>40310</v>
      </c>
      <c r="AI110" s="57">
        <v>68983</v>
      </c>
      <c r="AJ110" s="57">
        <v>40776</v>
      </c>
      <c r="AK110" s="57">
        <v>28204</v>
      </c>
      <c r="AL110" s="57">
        <v>29578</v>
      </c>
      <c r="AM110" s="57">
        <v>27517</v>
      </c>
      <c r="AN110" s="57">
        <v>28950</v>
      </c>
      <c r="AO110" s="57">
        <v>38958</v>
      </c>
      <c r="AP110" s="57">
        <v>31240</v>
      </c>
      <c r="AQ110" s="57">
        <v>26871</v>
      </c>
      <c r="AR110" s="57">
        <v>33261</v>
      </c>
      <c r="AS110" s="57">
        <v>29973</v>
      </c>
      <c r="AT110" s="57">
        <f>347286-315328</f>
        <v>31958</v>
      </c>
      <c r="AU110" s="57">
        <v>35539</v>
      </c>
      <c r="AV110" s="57">
        <v>51536</v>
      </c>
      <c r="AW110" s="57">
        <v>32329</v>
      </c>
      <c r="AX110" s="57">
        <v>36062</v>
      </c>
      <c r="AY110" s="57">
        <v>29173</v>
      </c>
      <c r="AZ110" s="57">
        <v>36281</v>
      </c>
      <c r="BA110" s="57">
        <v>41128</v>
      </c>
      <c r="BB110" s="57">
        <v>32403</v>
      </c>
      <c r="BC110" s="57">
        <v>29252</v>
      </c>
      <c r="BD110" s="57">
        <v>35633</v>
      </c>
      <c r="BE110" s="57">
        <v>36626</v>
      </c>
      <c r="BF110" s="57">
        <v>37713</v>
      </c>
      <c r="BG110" s="57">
        <v>16402</v>
      </c>
      <c r="BH110" s="57">
        <v>59367</v>
      </c>
      <c r="BI110" s="57">
        <v>34853</v>
      </c>
      <c r="BJ110" s="57">
        <v>41803</v>
      </c>
      <c r="BK110" s="57">
        <v>33973</v>
      </c>
      <c r="BL110" s="57">
        <v>36510</v>
      </c>
      <c r="BM110" s="57">
        <v>46904</v>
      </c>
      <c r="BN110" s="57">
        <v>35892</v>
      </c>
      <c r="BO110" s="57">
        <v>41169</v>
      </c>
      <c r="BP110" s="57">
        <v>29110</v>
      </c>
      <c r="BQ110" s="57">
        <v>29863</v>
      </c>
      <c r="BR110" s="57">
        <v>34494</v>
      </c>
      <c r="BS110" s="57">
        <v>19874</v>
      </c>
      <c r="BT110" s="57">
        <v>47701</v>
      </c>
      <c r="BU110" s="57">
        <v>29535</v>
      </c>
      <c r="BV110" s="57">
        <v>38888</v>
      </c>
      <c r="BW110" s="57">
        <v>32627</v>
      </c>
      <c r="BX110" s="57">
        <v>36272</v>
      </c>
      <c r="BY110" s="57">
        <v>41459</v>
      </c>
      <c r="BZ110" s="57">
        <v>33180</v>
      </c>
      <c r="CA110" s="57">
        <v>33984</v>
      </c>
      <c r="CB110" s="57">
        <v>37621</v>
      </c>
      <c r="CC110" s="57">
        <v>33732</v>
      </c>
      <c r="CD110" s="57">
        <v>39150</v>
      </c>
      <c r="CE110" s="57">
        <v>41965</v>
      </c>
      <c r="CF110" s="57">
        <v>44303</v>
      </c>
      <c r="CG110" s="57">
        <v>29595</v>
      </c>
      <c r="CH110" s="57">
        <v>29305</v>
      </c>
      <c r="CI110" s="57">
        <v>15255</v>
      </c>
      <c r="CJ110" s="57">
        <v>14867</v>
      </c>
      <c r="CK110" s="57">
        <v>24830</v>
      </c>
      <c r="CL110" s="57">
        <v>34713</v>
      </c>
      <c r="CM110" s="57">
        <v>26261</v>
      </c>
      <c r="CN110" s="57">
        <v>29233</v>
      </c>
      <c r="CO110" s="57">
        <v>31851</v>
      </c>
      <c r="CP110" s="57">
        <v>33288</v>
      </c>
      <c r="CQ110" s="57">
        <v>44829</v>
      </c>
      <c r="CR110" s="57">
        <v>35193</v>
      </c>
      <c r="CS110" s="57">
        <v>21740</v>
      </c>
      <c r="CT110" s="57">
        <v>23952</v>
      </c>
      <c r="CU110" s="57">
        <v>23612</v>
      </c>
      <c r="CV110" s="57">
        <v>25564</v>
      </c>
      <c r="CW110" s="57">
        <v>33112</v>
      </c>
      <c r="CX110" s="57">
        <v>26519</v>
      </c>
      <c r="CY110" s="57">
        <v>21768</v>
      </c>
      <c r="CZ110" s="57">
        <v>24517</v>
      </c>
      <c r="DA110" s="57">
        <v>24085</v>
      </c>
      <c r="DB110" s="57">
        <v>27203</v>
      </c>
      <c r="DC110" s="57">
        <v>35566</v>
      </c>
    </row>
    <row r="111" spans="1:107" ht="12" customHeight="1" x14ac:dyDescent="0.25">
      <c r="A111" s="54" t="s">
        <v>47</v>
      </c>
      <c r="B111" s="57">
        <v>7007</v>
      </c>
      <c r="C111" s="57">
        <f>14503-7007</f>
        <v>7496</v>
      </c>
      <c r="D111" s="57">
        <v>9644</v>
      </c>
      <c r="E111" s="57">
        <v>8032</v>
      </c>
      <c r="F111" s="57">
        <v>10844</v>
      </c>
      <c r="G111" s="57">
        <f>71939-65787</f>
        <v>6152</v>
      </c>
      <c r="H111" s="57">
        <f>79383-71939</f>
        <v>7444</v>
      </c>
      <c r="I111" s="57">
        <f>88459-79383</f>
        <v>9076</v>
      </c>
      <c r="J111" s="57">
        <f>97261-88459</f>
        <v>8802</v>
      </c>
      <c r="K111" s="57">
        <v>8637</v>
      </c>
      <c r="L111" s="57">
        <v>9255</v>
      </c>
      <c r="M111" s="57">
        <v>10546</v>
      </c>
      <c r="N111" s="57">
        <v>14153</v>
      </c>
      <c r="O111" s="57">
        <v>12315</v>
      </c>
      <c r="P111" s="57">
        <v>13772</v>
      </c>
      <c r="Q111" s="57">
        <f>75787-60041</f>
        <v>15746</v>
      </c>
      <c r="R111" s="57">
        <v>14162</v>
      </c>
      <c r="S111" s="57">
        <v>7750</v>
      </c>
      <c r="T111" s="57">
        <v>9692</v>
      </c>
      <c r="U111" s="57">
        <v>11795</v>
      </c>
      <c r="V111" s="57">
        <v>11701</v>
      </c>
      <c r="W111" s="57">
        <v>11940</v>
      </c>
      <c r="X111" s="57">
        <v>11852</v>
      </c>
      <c r="Y111" s="57">
        <v>14299</v>
      </c>
      <c r="Z111" s="57">
        <v>20061</v>
      </c>
      <c r="AA111" s="57">
        <v>15010</v>
      </c>
      <c r="AB111" s="57">
        <v>18363</v>
      </c>
      <c r="AC111" s="57">
        <v>21071</v>
      </c>
      <c r="AD111" s="57">
        <v>15544</v>
      </c>
      <c r="AE111" s="57">
        <v>9442</v>
      </c>
      <c r="AF111" s="57">
        <v>12625</v>
      </c>
      <c r="AG111" s="57">
        <v>13697</v>
      </c>
      <c r="AH111" s="57">
        <v>13365</v>
      </c>
      <c r="AI111" s="57">
        <v>13167</v>
      </c>
      <c r="AJ111" s="57">
        <v>13938</v>
      </c>
      <c r="AK111" s="57">
        <v>18029</v>
      </c>
      <c r="AL111" s="57">
        <v>26435</v>
      </c>
      <c r="AM111" s="57">
        <v>16010</v>
      </c>
      <c r="AN111" s="57">
        <v>20828</v>
      </c>
      <c r="AO111" s="57">
        <v>23391</v>
      </c>
      <c r="AP111" s="57">
        <v>15632</v>
      </c>
      <c r="AQ111" s="57">
        <v>10644</v>
      </c>
      <c r="AR111" s="57">
        <v>14024</v>
      </c>
      <c r="AS111" s="57">
        <v>14931</v>
      </c>
      <c r="AT111" s="57">
        <f>190384-173862</f>
        <v>16522</v>
      </c>
      <c r="AU111" s="57">
        <v>16961</v>
      </c>
      <c r="AV111" s="57">
        <v>15029</v>
      </c>
      <c r="AW111" s="57">
        <v>18860</v>
      </c>
      <c r="AX111" s="57">
        <v>25974</v>
      </c>
      <c r="AY111" s="57">
        <v>18835</v>
      </c>
      <c r="AZ111" s="57">
        <v>23653</v>
      </c>
      <c r="BA111" s="57">
        <v>24848</v>
      </c>
      <c r="BB111" s="57">
        <v>17531</v>
      </c>
      <c r="BC111" s="57">
        <v>11965</v>
      </c>
      <c r="BD111" s="57">
        <v>14815</v>
      </c>
      <c r="BE111" s="57">
        <v>15940</v>
      </c>
      <c r="BF111" s="57">
        <v>17629</v>
      </c>
      <c r="BG111" s="57">
        <v>17055</v>
      </c>
      <c r="BH111" s="57">
        <v>14603</v>
      </c>
      <c r="BI111" s="57">
        <v>20675</v>
      </c>
      <c r="BJ111" s="57">
        <v>27861</v>
      </c>
      <c r="BK111" s="57">
        <v>21520</v>
      </c>
      <c r="BL111" s="57">
        <v>23627</v>
      </c>
      <c r="BM111" s="57">
        <v>26220</v>
      </c>
      <c r="BN111" s="57">
        <v>20015</v>
      </c>
      <c r="BO111" s="57">
        <v>15306</v>
      </c>
      <c r="BP111" s="57">
        <v>12850</v>
      </c>
      <c r="BQ111" s="57">
        <v>13975</v>
      </c>
      <c r="BR111" s="57">
        <v>15461</v>
      </c>
      <c r="BS111" s="57">
        <v>16177</v>
      </c>
      <c r="BT111" s="57">
        <v>15684</v>
      </c>
      <c r="BU111" s="57">
        <v>18858</v>
      </c>
      <c r="BV111" s="57">
        <v>24903</v>
      </c>
      <c r="BW111" s="57">
        <v>21121</v>
      </c>
      <c r="BX111" s="57">
        <v>22724</v>
      </c>
      <c r="BY111" s="57">
        <v>25305</v>
      </c>
      <c r="BZ111" s="57">
        <v>18436</v>
      </c>
      <c r="CA111" s="57">
        <v>12435</v>
      </c>
      <c r="CB111" s="57">
        <v>14558</v>
      </c>
      <c r="CC111" s="57">
        <v>15649</v>
      </c>
      <c r="CD111" s="57">
        <v>16400</v>
      </c>
      <c r="CE111" s="57">
        <v>17726</v>
      </c>
      <c r="CF111" s="57">
        <v>14423</v>
      </c>
      <c r="CG111" s="57">
        <v>20263</v>
      </c>
      <c r="CH111" s="57">
        <v>10596</v>
      </c>
      <c r="CI111" s="57">
        <v>2749</v>
      </c>
      <c r="CJ111" s="57">
        <v>5741</v>
      </c>
      <c r="CK111" s="57">
        <v>11076</v>
      </c>
      <c r="CL111" s="57">
        <v>15209</v>
      </c>
      <c r="CM111" s="57">
        <v>12417</v>
      </c>
      <c r="CN111" s="57">
        <v>13186</v>
      </c>
      <c r="CO111" s="57">
        <v>13679</v>
      </c>
      <c r="CP111" s="57">
        <v>11826</v>
      </c>
      <c r="CQ111" s="57">
        <v>14252</v>
      </c>
      <c r="CR111" s="57">
        <v>10029</v>
      </c>
      <c r="CS111" s="57">
        <v>8311</v>
      </c>
      <c r="CT111" s="57">
        <v>12699</v>
      </c>
      <c r="CU111" s="57">
        <v>14809</v>
      </c>
      <c r="CV111" s="57">
        <v>16661</v>
      </c>
      <c r="CW111" s="57">
        <v>18936</v>
      </c>
      <c r="CX111" s="57">
        <v>12329</v>
      </c>
      <c r="CY111" s="57">
        <v>7965</v>
      </c>
      <c r="CZ111" s="57">
        <v>10786</v>
      </c>
      <c r="DA111" s="57">
        <v>10576</v>
      </c>
      <c r="DB111" s="57">
        <v>10928</v>
      </c>
      <c r="DC111" s="57">
        <v>12608</v>
      </c>
    </row>
    <row r="112" spans="1:107" ht="12" customHeight="1" x14ac:dyDescent="0.25">
      <c r="A112" s="54" t="s">
        <v>19</v>
      </c>
      <c r="B112" s="57">
        <v>49671</v>
      </c>
      <c r="C112" s="57">
        <f>108048-49671</f>
        <v>58377</v>
      </c>
      <c r="D112" s="57">
        <v>72676</v>
      </c>
      <c r="E112" s="57">
        <v>62318</v>
      </c>
      <c r="F112" s="57">
        <v>74679</v>
      </c>
      <c r="G112" s="57">
        <v>39875</v>
      </c>
      <c r="H112" s="57">
        <v>45178</v>
      </c>
      <c r="I112" s="57">
        <v>60301</v>
      </c>
      <c r="J112" s="57">
        <v>55452</v>
      </c>
      <c r="K112" s="57">
        <v>60515</v>
      </c>
      <c r="L112" s="57">
        <v>53436</v>
      </c>
      <c r="M112" s="57">
        <v>68763</v>
      </c>
      <c r="N112" s="57">
        <v>79929</v>
      </c>
      <c r="O112" s="57">
        <v>80173</v>
      </c>
      <c r="P112" s="57">
        <v>82483</v>
      </c>
      <c r="Q112" s="57">
        <f>454942-364784</f>
        <v>90158</v>
      </c>
      <c r="R112" s="57">
        <v>83224</v>
      </c>
      <c r="S112" s="57">
        <v>45497</v>
      </c>
      <c r="T112" s="57">
        <v>57010</v>
      </c>
      <c r="U112" s="57">
        <v>76073</v>
      </c>
      <c r="V112" s="57">
        <v>65122</v>
      </c>
      <c r="W112" s="57">
        <v>73440</v>
      </c>
      <c r="X112" s="57">
        <v>68118</v>
      </c>
      <c r="Y112" s="57">
        <v>86718</v>
      </c>
      <c r="Z112" s="57">
        <v>112301</v>
      </c>
      <c r="AA112" s="57">
        <v>82720</v>
      </c>
      <c r="AB112" s="57">
        <v>94031</v>
      </c>
      <c r="AC112" s="57">
        <v>111334</v>
      </c>
      <c r="AD112" s="57">
        <v>102922</v>
      </c>
      <c r="AE112" s="57">
        <v>55918</v>
      </c>
      <c r="AF112" s="57">
        <v>69830</v>
      </c>
      <c r="AG112" s="57">
        <v>80081</v>
      </c>
      <c r="AH112" s="57">
        <v>81650</v>
      </c>
      <c r="AI112" s="57">
        <v>88609</v>
      </c>
      <c r="AJ112" s="57">
        <v>76395</v>
      </c>
      <c r="AK112" s="57">
        <v>97589</v>
      </c>
      <c r="AL112" s="57">
        <v>111511</v>
      </c>
      <c r="AM112" s="57">
        <v>100280</v>
      </c>
      <c r="AN112" s="57">
        <v>113669</v>
      </c>
      <c r="AO112" s="57">
        <v>123790</v>
      </c>
      <c r="AP112" s="57">
        <v>107306</v>
      </c>
      <c r="AQ112" s="57">
        <v>64089</v>
      </c>
      <c r="AR112" s="57">
        <v>79591</v>
      </c>
      <c r="AS112" s="57">
        <v>83248</v>
      </c>
      <c r="AT112" s="57">
        <f>1050121-957468</f>
        <v>92653</v>
      </c>
      <c r="AU112" s="57">
        <v>96886</v>
      </c>
      <c r="AV112" s="57">
        <v>84515</v>
      </c>
      <c r="AW112" s="57">
        <v>97796</v>
      </c>
      <c r="AX112" s="57">
        <v>125600</v>
      </c>
      <c r="AY112" s="57">
        <v>101375</v>
      </c>
      <c r="AZ112" s="57">
        <v>126411</v>
      </c>
      <c r="BA112" s="57">
        <v>131797</v>
      </c>
      <c r="BB112" s="57">
        <v>109948</v>
      </c>
      <c r="BC112" s="57">
        <v>72409</v>
      </c>
      <c r="BD112" s="57">
        <v>83291</v>
      </c>
      <c r="BE112" s="57">
        <v>94676</v>
      </c>
      <c r="BF112" s="57">
        <v>104170</v>
      </c>
      <c r="BG112" s="57">
        <v>102943</v>
      </c>
      <c r="BH112" s="57">
        <v>101661</v>
      </c>
      <c r="BI112" s="57">
        <v>110474</v>
      </c>
      <c r="BJ112" s="57">
        <v>128176</v>
      </c>
      <c r="BK112" s="57">
        <v>113819</v>
      </c>
      <c r="BL112" s="57">
        <v>138139</v>
      </c>
      <c r="BM112" s="57">
        <v>142380</v>
      </c>
      <c r="BN112" s="57">
        <v>131196</v>
      </c>
      <c r="BO112" s="57">
        <v>107697</v>
      </c>
      <c r="BP112" s="57">
        <v>69130</v>
      </c>
      <c r="BQ112" s="57">
        <v>88409</v>
      </c>
      <c r="BR112" s="57">
        <v>91066</v>
      </c>
      <c r="BS112" s="57">
        <v>99291</v>
      </c>
      <c r="BT112" s="57">
        <v>93546</v>
      </c>
      <c r="BU112" s="57">
        <v>100701</v>
      </c>
      <c r="BV112" s="57">
        <v>122664</v>
      </c>
      <c r="BW112" s="57">
        <v>119417</v>
      </c>
      <c r="BX112" s="57">
        <v>125625</v>
      </c>
      <c r="BY112" s="57">
        <v>130519</v>
      </c>
      <c r="BZ112" s="57">
        <v>116686</v>
      </c>
      <c r="CA112" s="57">
        <v>74491</v>
      </c>
      <c r="CB112" s="57">
        <v>81690</v>
      </c>
      <c r="CC112" s="57">
        <v>93936</v>
      </c>
      <c r="CD112" s="57">
        <v>93144</v>
      </c>
      <c r="CE112" s="57">
        <v>105841</v>
      </c>
      <c r="CF112" s="57">
        <v>86443</v>
      </c>
      <c r="CG112" s="57">
        <v>94620</v>
      </c>
      <c r="CH112" s="57">
        <v>37642</v>
      </c>
      <c r="CI112" s="57">
        <v>4161</v>
      </c>
      <c r="CJ112" s="57">
        <v>34336</v>
      </c>
      <c r="CK112" s="57">
        <v>82651</v>
      </c>
      <c r="CL112" s="57">
        <v>117929</v>
      </c>
      <c r="CM112" s="57">
        <v>66924</v>
      </c>
      <c r="CN112" s="57">
        <v>70729</v>
      </c>
      <c r="CO112" s="57">
        <v>74227</v>
      </c>
      <c r="CP112" s="57">
        <v>75707</v>
      </c>
      <c r="CQ112" s="57">
        <v>105842</v>
      </c>
      <c r="CR112" s="57">
        <v>41966</v>
      </c>
      <c r="CS112" s="57">
        <v>58276</v>
      </c>
      <c r="CT112" s="57">
        <v>85819</v>
      </c>
      <c r="CU112" s="57">
        <v>78594</v>
      </c>
      <c r="CV112" s="57">
        <v>95402</v>
      </c>
      <c r="CW112" s="57">
        <v>96776</v>
      </c>
      <c r="CX112" s="57">
        <v>83899</v>
      </c>
      <c r="CY112" s="57">
        <v>47582</v>
      </c>
      <c r="CZ112" s="57">
        <v>59641</v>
      </c>
      <c r="DA112" s="57">
        <v>59043</v>
      </c>
      <c r="DB112" s="57">
        <v>66398</v>
      </c>
      <c r="DC112" s="57">
        <v>86081</v>
      </c>
    </row>
    <row r="113" spans="1:107" ht="12" customHeight="1" x14ac:dyDescent="0.25">
      <c r="A113" s="54" t="s">
        <v>48</v>
      </c>
      <c r="B113" s="57">
        <v>15721</v>
      </c>
      <c r="C113" s="57">
        <f>33581-15721</f>
        <v>17860</v>
      </c>
      <c r="D113" s="57">
        <v>22493</v>
      </c>
      <c r="E113" s="57">
        <v>24175</v>
      </c>
      <c r="F113" s="57">
        <v>18161</v>
      </c>
      <c r="G113" s="57">
        <f>168677-150061</f>
        <v>18616</v>
      </c>
      <c r="H113" s="57">
        <f>193065-168677</f>
        <v>24388</v>
      </c>
      <c r="I113" s="57">
        <f>218397-193065</f>
        <v>25332</v>
      </c>
      <c r="J113" s="57">
        <f>243176-218397</f>
        <v>24779</v>
      </c>
      <c r="K113" s="57">
        <v>26423</v>
      </c>
      <c r="L113" s="57">
        <v>18673</v>
      </c>
      <c r="M113" s="57">
        <v>21525</v>
      </c>
      <c r="N113" s="57">
        <v>27605</v>
      </c>
      <c r="O113" s="57">
        <v>27543</v>
      </c>
      <c r="P113" s="57">
        <v>27652</v>
      </c>
      <c r="Q113" s="57">
        <f>151750-122998</f>
        <v>28752</v>
      </c>
      <c r="R113" s="57">
        <v>20473</v>
      </c>
      <c r="S113" s="57">
        <v>24271</v>
      </c>
      <c r="T113" s="57">
        <v>26142</v>
      </c>
      <c r="U113" s="57">
        <v>28252</v>
      </c>
      <c r="V113" s="57">
        <v>25921</v>
      </c>
      <c r="W113" s="57">
        <v>27057</v>
      </c>
      <c r="X113" s="57">
        <v>20408</v>
      </c>
      <c r="Y113" s="57">
        <v>23735</v>
      </c>
      <c r="Z113" s="57">
        <v>31590</v>
      </c>
      <c r="AA113" s="57">
        <v>30536</v>
      </c>
      <c r="AB113" s="57">
        <v>29458</v>
      </c>
      <c r="AC113" s="57">
        <v>32257</v>
      </c>
      <c r="AD113" s="57">
        <v>24139</v>
      </c>
      <c r="AE113" s="57">
        <v>26877</v>
      </c>
      <c r="AF113" s="57">
        <v>29653</v>
      </c>
      <c r="AG113" s="57">
        <v>31563</v>
      </c>
      <c r="AH113" s="57">
        <v>31352</v>
      </c>
      <c r="AI113" s="57">
        <v>33485</v>
      </c>
      <c r="AJ113" s="57">
        <v>21648</v>
      </c>
      <c r="AK113" s="57">
        <v>26869</v>
      </c>
      <c r="AL113" s="57">
        <v>34712</v>
      </c>
      <c r="AM113" s="57">
        <v>33580</v>
      </c>
      <c r="AN113" s="57">
        <v>34475</v>
      </c>
      <c r="AO113" s="57">
        <v>36307</v>
      </c>
      <c r="AP113" s="57">
        <v>24197</v>
      </c>
      <c r="AQ113" s="57">
        <v>27316</v>
      </c>
      <c r="AR113" s="57">
        <v>32292</v>
      </c>
      <c r="AS113" s="57">
        <v>31840</v>
      </c>
      <c r="AT113" s="57">
        <f>335037-303236</f>
        <v>31801</v>
      </c>
      <c r="AU113" s="57">
        <v>37259</v>
      </c>
      <c r="AV113" s="57">
        <v>23282</v>
      </c>
      <c r="AW113" s="57">
        <v>27735</v>
      </c>
      <c r="AX113" s="57">
        <v>38387</v>
      </c>
      <c r="AY113" s="57">
        <v>30476</v>
      </c>
      <c r="AZ113" s="57">
        <v>35326</v>
      </c>
      <c r="BA113" s="57">
        <v>38324</v>
      </c>
      <c r="BB113" s="57">
        <v>24722</v>
      </c>
      <c r="BC113" s="57">
        <v>29915</v>
      </c>
      <c r="BD113" s="57">
        <v>31672</v>
      </c>
      <c r="BE113" s="57">
        <v>32112</v>
      </c>
      <c r="BF113" s="57">
        <v>32484</v>
      </c>
      <c r="BG113" s="57">
        <v>34958</v>
      </c>
      <c r="BH113" s="57">
        <v>22980</v>
      </c>
      <c r="BI113" s="57">
        <v>22456</v>
      </c>
      <c r="BJ113" s="57">
        <v>37206</v>
      </c>
      <c r="BK113" s="57">
        <v>38970</v>
      </c>
      <c r="BL113" s="57">
        <v>37687</v>
      </c>
      <c r="BM113" s="57">
        <v>66244</v>
      </c>
      <c r="BN113" s="57">
        <v>12504</v>
      </c>
      <c r="BO113" s="57">
        <v>24670</v>
      </c>
      <c r="BP113" s="57">
        <v>19111</v>
      </c>
      <c r="BQ113" s="57">
        <v>23088</v>
      </c>
      <c r="BR113" s="57">
        <v>25813</v>
      </c>
      <c r="BS113" s="57">
        <v>23000</v>
      </c>
      <c r="BT113" s="57">
        <v>20478</v>
      </c>
      <c r="BU113" s="57">
        <v>23146</v>
      </c>
      <c r="BV113" s="57">
        <v>30256</v>
      </c>
      <c r="BW113" s="57">
        <v>30253</v>
      </c>
      <c r="BX113" s="57">
        <v>31919</v>
      </c>
      <c r="BY113" s="57">
        <v>31830</v>
      </c>
      <c r="BZ113" s="57">
        <v>23657</v>
      </c>
      <c r="CA113" s="57">
        <v>29477</v>
      </c>
      <c r="CB113" s="57">
        <v>26758</v>
      </c>
      <c r="CC113" s="57">
        <v>29631</v>
      </c>
      <c r="CD113" s="57">
        <v>30502</v>
      </c>
      <c r="CE113" s="57">
        <v>48129</v>
      </c>
      <c r="CF113" s="57">
        <v>16798</v>
      </c>
      <c r="CG113" s="57">
        <v>21694</v>
      </c>
      <c r="CH113" s="57">
        <v>27649</v>
      </c>
      <c r="CI113" s="57">
        <v>18916</v>
      </c>
      <c r="CJ113" s="57">
        <v>15881</v>
      </c>
      <c r="CK113" s="57">
        <v>24747</v>
      </c>
      <c r="CL113" s="57">
        <v>22718</v>
      </c>
      <c r="CM113" s="57">
        <v>25522</v>
      </c>
      <c r="CN113" s="57">
        <v>28719</v>
      </c>
      <c r="CO113" s="57">
        <v>28147</v>
      </c>
      <c r="CP113" s="57">
        <v>26571</v>
      </c>
      <c r="CQ113" s="57">
        <v>34662</v>
      </c>
      <c r="CR113" s="57">
        <v>20573</v>
      </c>
      <c r="CS113" s="57">
        <v>22837</v>
      </c>
      <c r="CT113" s="57">
        <v>47460</v>
      </c>
      <c r="CU113" s="57">
        <v>21873</v>
      </c>
      <c r="CV113" s="57">
        <v>24325</v>
      </c>
      <c r="CW113" s="57">
        <v>36095</v>
      </c>
      <c r="CX113" s="57">
        <v>16778</v>
      </c>
      <c r="CY113" s="57">
        <v>19808</v>
      </c>
      <c r="CZ113" s="57">
        <v>22634</v>
      </c>
      <c r="DA113" s="57">
        <v>19962</v>
      </c>
      <c r="DB113" s="57">
        <v>21056</v>
      </c>
      <c r="DC113" s="57">
        <v>27582</v>
      </c>
    </row>
    <row r="114" spans="1:107" ht="12" customHeight="1" x14ac:dyDescent="0.25">
      <c r="A114" s="54" t="s">
        <v>49</v>
      </c>
      <c r="B114" s="57">
        <v>21022</v>
      </c>
      <c r="C114" s="57">
        <v>22175</v>
      </c>
      <c r="D114" s="57">
        <v>28554</v>
      </c>
      <c r="E114" s="57">
        <v>28397</v>
      </c>
      <c r="F114" s="57">
        <v>26333</v>
      </c>
      <c r="G114" s="57">
        <f>203634-182638</f>
        <v>20996</v>
      </c>
      <c r="H114" s="57">
        <v>22632</v>
      </c>
      <c r="I114" s="57">
        <f>252892-226266</f>
        <v>26626</v>
      </c>
      <c r="J114" s="57">
        <f>277774-252892</f>
        <v>24882</v>
      </c>
      <c r="K114" s="57">
        <v>30111</v>
      </c>
      <c r="L114" s="57">
        <v>20214</v>
      </c>
      <c r="M114" s="57">
        <v>21931</v>
      </c>
      <c r="N114" s="57">
        <v>26250</v>
      </c>
      <c r="O114" s="57">
        <v>27804</v>
      </c>
      <c r="P114" s="57">
        <v>25787</v>
      </c>
      <c r="Q114" s="57">
        <f>149905-121986</f>
        <v>27919</v>
      </c>
      <c r="R114" s="57">
        <f>177475-149905</f>
        <v>27570</v>
      </c>
      <c r="S114" s="57">
        <v>19783</v>
      </c>
      <c r="T114" s="57">
        <v>21878</v>
      </c>
      <c r="U114" s="57">
        <v>26277</v>
      </c>
      <c r="V114" s="57">
        <v>23672</v>
      </c>
      <c r="W114" s="57">
        <v>32857</v>
      </c>
      <c r="X114" s="57">
        <v>18400</v>
      </c>
      <c r="Y114" s="57">
        <v>22388</v>
      </c>
      <c r="Z114" s="57">
        <v>31487</v>
      </c>
      <c r="AA114" s="57">
        <v>23982</v>
      </c>
      <c r="AB114" s="57">
        <v>27422</v>
      </c>
      <c r="AC114" s="57">
        <v>33119</v>
      </c>
      <c r="AD114" s="57">
        <v>35228</v>
      </c>
      <c r="AE114" s="57">
        <v>23431</v>
      </c>
      <c r="AF114" s="57">
        <v>24137</v>
      </c>
      <c r="AG114" s="57">
        <v>25235</v>
      </c>
      <c r="AH114" s="57">
        <v>26312</v>
      </c>
      <c r="AI114" s="57">
        <v>32642</v>
      </c>
      <c r="AJ114" s="57">
        <v>20205</v>
      </c>
      <c r="AK114" s="57">
        <v>22653</v>
      </c>
      <c r="AL114" s="57">
        <v>29099</v>
      </c>
      <c r="AM114" s="57">
        <v>28698</v>
      </c>
      <c r="AN114" s="57">
        <v>26123</v>
      </c>
      <c r="AO114" s="57">
        <v>31259</v>
      </c>
      <c r="AP114" s="57">
        <v>26074</v>
      </c>
      <c r="AQ114" s="57">
        <v>21927</v>
      </c>
      <c r="AR114" s="57">
        <v>26145</v>
      </c>
      <c r="AS114" s="57">
        <v>23396</v>
      </c>
      <c r="AT114" s="57">
        <f>281993-255579</f>
        <v>26414</v>
      </c>
      <c r="AU114" s="57">
        <v>35325</v>
      </c>
      <c r="AV114" s="57">
        <v>19451</v>
      </c>
      <c r="AW114" s="57">
        <v>22809</v>
      </c>
      <c r="AX114" s="57">
        <v>30509</v>
      </c>
      <c r="AY114" s="57">
        <v>25815</v>
      </c>
      <c r="AZ114" s="57">
        <v>28411</v>
      </c>
      <c r="BA114" s="57">
        <v>31923</v>
      </c>
      <c r="BB114" s="57">
        <v>24885</v>
      </c>
      <c r="BC114" s="57">
        <v>23160</v>
      </c>
      <c r="BD114" s="57">
        <v>24520</v>
      </c>
      <c r="BE114" s="57">
        <v>24724</v>
      </c>
      <c r="BF114" s="57">
        <v>26749</v>
      </c>
      <c r="BG114" s="57">
        <v>31072</v>
      </c>
      <c r="BH114" s="57">
        <v>21671</v>
      </c>
      <c r="BI114" s="57">
        <v>22292</v>
      </c>
      <c r="BJ114" s="57">
        <v>28126</v>
      </c>
      <c r="BK114" s="57">
        <v>26519</v>
      </c>
      <c r="BL114" s="57">
        <v>27826</v>
      </c>
      <c r="BM114" s="57">
        <v>31476</v>
      </c>
      <c r="BN114" s="57">
        <v>25483</v>
      </c>
      <c r="BO114" s="57">
        <v>21484</v>
      </c>
      <c r="BP114" s="57">
        <v>20409</v>
      </c>
      <c r="BQ114" s="57">
        <v>22788</v>
      </c>
      <c r="BR114" s="57">
        <v>24103</v>
      </c>
      <c r="BS114" s="57">
        <v>27539</v>
      </c>
      <c r="BT114" s="57">
        <v>20931</v>
      </c>
      <c r="BU114" s="57">
        <v>22176</v>
      </c>
      <c r="BV114" s="57">
        <v>28958</v>
      </c>
      <c r="BW114" s="57">
        <v>28620</v>
      </c>
      <c r="BX114" s="57">
        <v>28060</v>
      </c>
      <c r="BY114" s="57">
        <v>28391</v>
      </c>
      <c r="BZ114" s="57">
        <v>25518</v>
      </c>
      <c r="CA114" s="57">
        <v>19437</v>
      </c>
      <c r="CB114" s="57">
        <v>24219</v>
      </c>
      <c r="CC114" s="57">
        <v>26103</v>
      </c>
      <c r="CD114" s="57">
        <v>24228</v>
      </c>
      <c r="CE114" s="57">
        <v>34825</v>
      </c>
      <c r="CF114" s="57">
        <v>18796</v>
      </c>
      <c r="CG114" s="57">
        <v>19100</v>
      </c>
      <c r="CH114" s="57">
        <v>17556</v>
      </c>
      <c r="CI114" s="57">
        <v>9382</v>
      </c>
      <c r="CJ114" s="57">
        <v>13890</v>
      </c>
      <c r="CK114" s="57">
        <v>24477</v>
      </c>
      <c r="CL114" s="57">
        <v>22641</v>
      </c>
      <c r="CM114" s="57">
        <v>16260</v>
      </c>
      <c r="CN114" s="57">
        <v>21454</v>
      </c>
      <c r="CO114" s="57">
        <v>20975</v>
      </c>
      <c r="CP114" s="57">
        <v>22846</v>
      </c>
      <c r="CQ114" s="57">
        <v>29451</v>
      </c>
      <c r="CR114" s="57">
        <v>15130</v>
      </c>
      <c r="CS114" s="57">
        <v>16131</v>
      </c>
      <c r="CT114" s="57">
        <v>25236</v>
      </c>
      <c r="CU114" s="57">
        <v>22054</v>
      </c>
      <c r="CV114" s="57">
        <v>19991</v>
      </c>
      <c r="CW114" s="57">
        <v>26005</v>
      </c>
      <c r="CX114" s="57">
        <v>19422</v>
      </c>
      <c r="CY114" s="57">
        <v>16456</v>
      </c>
      <c r="CZ114" s="57">
        <v>19648</v>
      </c>
      <c r="DA114" s="57">
        <v>15060</v>
      </c>
      <c r="DB114" s="57">
        <v>18825</v>
      </c>
      <c r="DC114" s="57">
        <v>24522</v>
      </c>
    </row>
    <row r="115" spans="1:107" ht="12" customHeight="1" x14ac:dyDescent="0.25">
      <c r="A115" s="54" t="s">
        <v>17</v>
      </c>
      <c r="B115" s="57">
        <v>143643</v>
      </c>
      <c r="C115" s="57">
        <v>66749</v>
      </c>
      <c r="D115" s="57">
        <v>394806</v>
      </c>
      <c r="E115" s="57">
        <v>163357</v>
      </c>
      <c r="F115" s="57">
        <v>162228</v>
      </c>
      <c r="G115" s="57">
        <v>65937</v>
      </c>
      <c r="H115" s="57">
        <v>403136</v>
      </c>
      <c r="I115" s="57">
        <f>1952238-1794924</f>
        <v>157314</v>
      </c>
      <c r="J115" s="57">
        <v>159581</v>
      </c>
      <c r="K115" s="57">
        <v>152918</v>
      </c>
      <c r="L115" s="57">
        <v>154562</v>
      </c>
      <c r="M115" s="57">
        <v>68736</v>
      </c>
      <c r="N115" s="57">
        <v>464824</v>
      </c>
      <c r="O115" s="57">
        <v>176820</v>
      </c>
      <c r="P115" s="57">
        <v>194032</v>
      </c>
      <c r="Q115" s="57">
        <f>1287265-1058974</f>
        <v>228291</v>
      </c>
      <c r="R115" s="57">
        <v>172907</v>
      </c>
      <c r="S115" s="57">
        <v>72163</v>
      </c>
      <c r="T115" s="57">
        <v>425861</v>
      </c>
      <c r="U115" s="57">
        <v>179714</v>
      </c>
      <c r="V115" s="57">
        <v>172327</v>
      </c>
      <c r="W115" s="57">
        <v>166198</v>
      </c>
      <c r="X115" s="57">
        <v>164856</v>
      </c>
      <c r="Y115" s="57">
        <v>76958</v>
      </c>
      <c r="Z115" s="57">
        <v>492774</v>
      </c>
      <c r="AA115" s="57">
        <v>185778</v>
      </c>
      <c r="AB115" s="57">
        <v>198706</v>
      </c>
      <c r="AC115" s="57">
        <v>257817</v>
      </c>
      <c r="AD115" s="57">
        <v>178420</v>
      </c>
      <c r="AE115" s="57">
        <v>79060</v>
      </c>
      <c r="AF115" s="57">
        <v>462517</v>
      </c>
      <c r="AG115" s="57">
        <v>177664</v>
      </c>
      <c r="AH115" s="57">
        <v>178876</v>
      </c>
      <c r="AI115" s="57">
        <v>180077</v>
      </c>
      <c r="AJ115" s="57">
        <v>169678</v>
      </c>
      <c r="AK115" s="57">
        <v>83395</v>
      </c>
      <c r="AL115" s="57">
        <v>518707</v>
      </c>
      <c r="AM115" s="57">
        <v>189505</v>
      </c>
      <c r="AN115" s="57">
        <v>203585</v>
      </c>
      <c r="AO115" s="57">
        <v>255766</v>
      </c>
      <c r="AP115" s="57">
        <v>178523</v>
      </c>
      <c r="AQ115" s="57">
        <v>81640</v>
      </c>
      <c r="AR115" s="57">
        <v>469696</v>
      </c>
      <c r="AS115" s="57">
        <v>180168</v>
      </c>
      <c r="AT115" s="57">
        <f>2514764-2330663</f>
        <v>184101</v>
      </c>
      <c r="AU115" s="57">
        <v>178022</v>
      </c>
      <c r="AV115" s="57">
        <v>171564</v>
      </c>
      <c r="AW115" s="57">
        <v>83115</v>
      </c>
      <c r="AX115" s="57">
        <v>565337</v>
      </c>
      <c r="AY115" s="57">
        <v>152076</v>
      </c>
      <c r="AZ115" s="57">
        <v>186265</v>
      </c>
      <c r="BA115" s="57">
        <v>243454</v>
      </c>
      <c r="BB115" s="57">
        <v>161997</v>
      </c>
      <c r="BC115" s="57">
        <v>76433</v>
      </c>
      <c r="BD115" s="57">
        <v>426170</v>
      </c>
      <c r="BE115" s="57">
        <v>158192</v>
      </c>
      <c r="BF115" s="57">
        <v>163541</v>
      </c>
      <c r="BG115" s="57">
        <v>152473</v>
      </c>
      <c r="BH115" s="57">
        <v>163615</v>
      </c>
      <c r="BI115" s="57">
        <v>80805</v>
      </c>
      <c r="BJ115" s="57">
        <v>474069</v>
      </c>
      <c r="BK115" s="57">
        <v>167911</v>
      </c>
      <c r="BL115" s="57">
        <v>192649</v>
      </c>
      <c r="BM115" s="57">
        <v>234945</v>
      </c>
      <c r="BN115" s="57">
        <v>163898</v>
      </c>
      <c r="BO115" s="57">
        <v>94094</v>
      </c>
      <c r="BP115" s="57">
        <v>338834</v>
      </c>
      <c r="BQ115" s="57">
        <v>153599</v>
      </c>
      <c r="BR115" s="57">
        <v>158639</v>
      </c>
      <c r="BS115" s="57">
        <v>144089</v>
      </c>
      <c r="BT115" s="57">
        <v>161013</v>
      </c>
      <c r="BU115" s="57">
        <v>81969</v>
      </c>
      <c r="BV115" s="57">
        <v>458054</v>
      </c>
      <c r="BW115" s="57">
        <v>161064</v>
      </c>
      <c r="BX115" s="57">
        <v>183724</v>
      </c>
      <c r="BY115" s="57">
        <v>223421</v>
      </c>
      <c r="BZ115" s="57">
        <v>157198</v>
      </c>
      <c r="CA115" s="57">
        <v>92573</v>
      </c>
      <c r="CB115" s="57">
        <v>343255</v>
      </c>
      <c r="CC115" s="57">
        <v>143251</v>
      </c>
      <c r="CD115" s="57">
        <v>156621</v>
      </c>
      <c r="CE115" s="57">
        <v>148997</v>
      </c>
      <c r="CF115" s="57">
        <v>149279</v>
      </c>
      <c r="CG115" s="57">
        <v>79594</v>
      </c>
      <c r="CH115" s="57">
        <v>254684</v>
      </c>
      <c r="CI115" s="57">
        <v>4321</v>
      </c>
      <c r="CJ115" s="57">
        <v>20247</v>
      </c>
      <c r="CK115" s="57">
        <v>145377</v>
      </c>
      <c r="CL115" s="57">
        <v>174887</v>
      </c>
      <c r="CM115" s="57">
        <v>87226</v>
      </c>
      <c r="CN115" s="57">
        <v>328041</v>
      </c>
      <c r="CO115" s="57">
        <v>140945</v>
      </c>
      <c r="CP115" s="57">
        <v>113781</v>
      </c>
      <c r="CQ115" s="57">
        <v>132682</v>
      </c>
      <c r="CR115" s="57">
        <v>90249</v>
      </c>
      <c r="CS115" s="57">
        <v>51312</v>
      </c>
      <c r="CT115" s="57">
        <v>283964</v>
      </c>
      <c r="CU115" s="57">
        <v>141583</v>
      </c>
      <c r="CV115" s="57">
        <v>156737</v>
      </c>
      <c r="CW115" s="57">
        <v>186128</v>
      </c>
      <c r="CX115" s="57">
        <v>123296</v>
      </c>
      <c r="CY115" s="57">
        <v>68033</v>
      </c>
      <c r="CZ115" s="57">
        <v>215312</v>
      </c>
      <c r="DA115" s="57">
        <v>106265</v>
      </c>
      <c r="DB115" s="57">
        <v>115706</v>
      </c>
      <c r="DC115" s="57">
        <v>108596</v>
      </c>
    </row>
    <row r="116" spans="1:107" ht="12" customHeight="1" x14ac:dyDescent="0.25">
      <c r="A116" s="58" t="s">
        <v>139</v>
      </c>
      <c r="B116" s="57">
        <v>1132</v>
      </c>
      <c r="C116" s="57">
        <v>1147</v>
      </c>
      <c r="D116" s="57">
        <v>1262</v>
      </c>
      <c r="E116" s="57">
        <v>1632</v>
      </c>
      <c r="F116" s="57">
        <v>2415</v>
      </c>
      <c r="G116" s="57">
        <v>1519</v>
      </c>
      <c r="H116" s="57">
        <v>1558</v>
      </c>
      <c r="I116" s="57">
        <v>1687</v>
      </c>
      <c r="J116" s="57">
        <v>1106</v>
      </c>
      <c r="K116" s="57">
        <v>2096</v>
      </c>
      <c r="L116" s="57">
        <v>1363</v>
      </c>
      <c r="M116" s="57">
        <v>1520</v>
      </c>
      <c r="N116" s="57">
        <v>1736</v>
      </c>
      <c r="O116" s="57">
        <v>1859</v>
      </c>
      <c r="P116" s="57">
        <v>1802</v>
      </c>
      <c r="Q116" s="57">
        <v>2052</v>
      </c>
      <c r="R116" s="57">
        <v>1562</v>
      </c>
      <c r="S116" s="57">
        <v>1689</v>
      </c>
      <c r="T116" s="57">
        <v>1567</v>
      </c>
      <c r="U116" s="57">
        <v>1682</v>
      </c>
      <c r="V116" s="57">
        <v>1595</v>
      </c>
      <c r="W116" s="57">
        <v>1932</v>
      </c>
      <c r="X116" s="57">
        <v>1419</v>
      </c>
      <c r="Y116" s="57">
        <v>1481</v>
      </c>
      <c r="Z116" s="57">
        <v>2108</v>
      </c>
      <c r="AA116" s="57">
        <v>1908</v>
      </c>
      <c r="AB116" s="57">
        <v>1995</v>
      </c>
      <c r="AC116" s="57">
        <v>2540</v>
      </c>
      <c r="AD116" s="57">
        <v>2061</v>
      </c>
      <c r="AE116" s="57">
        <v>1607</v>
      </c>
      <c r="AF116" s="57">
        <v>1872</v>
      </c>
      <c r="AG116" s="57">
        <v>1941</v>
      </c>
      <c r="AH116" s="57">
        <v>2130</v>
      </c>
      <c r="AI116" s="57">
        <v>2348</v>
      </c>
      <c r="AJ116" s="57">
        <v>1508</v>
      </c>
      <c r="AK116" s="57">
        <v>1661</v>
      </c>
      <c r="AL116" s="57">
        <v>2230</v>
      </c>
      <c r="AM116" s="57">
        <v>2173</v>
      </c>
      <c r="AN116" s="57">
        <v>2349</v>
      </c>
      <c r="AO116" s="57">
        <v>2440</v>
      </c>
      <c r="AP116" s="57">
        <v>2172</v>
      </c>
      <c r="AQ116" s="57">
        <v>2029</v>
      </c>
      <c r="AR116" s="57">
        <v>2147</v>
      </c>
      <c r="AS116" s="57">
        <v>2123</v>
      </c>
      <c r="AT116" s="57">
        <v>1983</v>
      </c>
      <c r="AU116" s="57">
        <v>3555</v>
      </c>
      <c r="AV116" s="57">
        <v>1802</v>
      </c>
      <c r="AW116" s="57">
        <v>1800</v>
      </c>
      <c r="AX116" s="57">
        <v>3005</v>
      </c>
      <c r="AY116" s="57">
        <v>2479</v>
      </c>
      <c r="AZ116" s="57">
        <v>2457</v>
      </c>
      <c r="BA116" s="57">
        <v>3206</v>
      </c>
      <c r="BB116" s="57">
        <v>2463</v>
      </c>
      <c r="BC116" s="57">
        <v>2344</v>
      </c>
      <c r="BD116" s="57">
        <v>2542</v>
      </c>
      <c r="BE116" s="57">
        <v>3000</v>
      </c>
      <c r="BF116" s="57">
        <v>3082</v>
      </c>
      <c r="BG116" s="57">
        <v>3064</v>
      </c>
      <c r="BH116" s="57">
        <v>2465</v>
      </c>
      <c r="BI116" s="57">
        <v>2559</v>
      </c>
      <c r="BJ116" s="57">
        <v>3312</v>
      </c>
      <c r="BK116" s="57">
        <v>2852</v>
      </c>
      <c r="BL116" s="57">
        <v>3308</v>
      </c>
      <c r="BM116" s="57">
        <v>3586</v>
      </c>
      <c r="BN116" s="57">
        <v>2716</v>
      </c>
      <c r="BO116" s="57">
        <v>2887</v>
      </c>
      <c r="BP116" s="57">
        <v>2758</v>
      </c>
      <c r="BQ116" s="57">
        <v>3562</v>
      </c>
      <c r="BR116" s="57">
        <v>2768</v>
      </c>
      <c r="BS116" s="57">
        <v>2559</v>
      </c>
      <c r="BT116" s="57">
        <v>2344</v>
      </c>
      <c r="BU116" s="57">
        <v>2809</v>
      </c>
      <c r="BV116" s="57">
        <v>3266</v>
      </c>
      <c r="BW116" s="57">
        <v>3008</v>
      </c>
      <c r="BX116" s="57">
        <v>3641</v>
      </c>
      <c r="BY116" s="57">
        <v>3255</v>
      </c>
      <c r="BZ116" s="57">
        <v>3120</v>
      </c>
      <c r="CA116" s="57">
        <v>2929</v>
      </c>
      <c r="CB116" s="57">
        <v>2522</v>
      </c>
      <c r="CC116" s="57">
        <v>2798</v>
      </c>
      <c r="CD116" s="57">
        <v>2819</v>
      </c>
      <c r="CE116" s="57">
        <v>2860</v>
      </c>
      <c r="CF116" s="57">
        <v>2347</v>
      </c>
      <c r="CG116" s="57">
        <v>1971</v>
      </c>
      <c r="CH116" s="57">
        <v>1615</v>
      </c>
      <c r="CI116" s="57">
        <v>818</v>
      </c>
      <c r="CJ116" s="57">
        <v>1127</v>
      </c>
      <c r="CK116" s="57">
        <v>2283</v>
      </c>
      <c r="CL116" s="57">
        <v>3127</v>
      </c>
      <c r="CM116" s="57">
        <v>1918</v>
      </c>
      <c r="CN116" s="57">
        <v>1823</v>
      </c>
      <c r="CO116" s="57">
        <v>2088</v>
      </c>
      <c r="CP116" s="57">
        <v>1544</v>
      </c>
      <c r="CQ116" s="57">
        <v>1707</v>
      </c>
      <c r="CR116" s="57">
        <v>1769</v>
      </c>
      <c r="CS116" s="57">
        <v>1663</v>
      </c>
      <c r="CT116" s="57">
        <v>2170</v>
      </c>
      <c r="CU116" s="57">
        <v>2377</v>
      </c>
      <c r="CV116" s="57">
        <v>1994</v>
      </c>
      <c r="CW116" s="57">
        <v>2953</v>
      </c>
      <c r="CX116" s="57">
        <v>2750</v>
      </c>
      <c r="CY116" s="57">
        <v>1916</v>
      </c>
      <c r="CZ116" s="57">
        <v>1440</v>
      </c>
      <c r="DA116" s="57">
        <v>1808</v>
      </c>
      <c r="DB116" s="57">
        <v>1912</v>
      </c>
      <c r="DC116" s="57">
        <v>1782</v>
      </c>
    </row>
    <row r="117" spans="1:107" ht="12" customHeight="1" x14ac:dyDescent="0.25">
      <c r="A117" s="58" t="s">
        <v>140</v>
      </c>
      <c r="B117" s="57">
        <v>1814</v>
      </c>
      <c r="C117" s="57">
        <v>1787</v>
      </c>
      <c r="D117" s="57">
        <v>2436</v>
      </c>
      <c r="E117" s="57">
        <v>2813</v>
      </c>
      <c r="F117" s="57">
        <v>3224</v>
      </c>
      <c r="G117" s="57">
        <v>1539</v>
      </c>
      <c r="H117" s="57">
        <v>1817</v>
      </c>
      <c r="I117" s="57">
        <v>2199</v>
      </c>
      <c r="J117" s="57">
        <v>1917</v>
      </c>
      <c r="K117" s="57">
        <v>1722</v>
      </c>
      <c r="L117" s="57">
        <v>2347</v>
      </c>
      <c r="M117" s="57">
        <v>1782</v>
      </c>
      <c r="N117" s="57">
        <v>3115</v>
      </c>
      <c r="O117" s="57">
        <v>3039</v>
      </c>
      <c r="P117" s="57">
        <v>5257</v>
      </c>
      <c r="Q117" s="57">
        <v>4856</v>
      </c>
      <c r="R117" s="57">
        <v>3797</v>
      </c>
      <c r="S117" s="57">
        <v>1573</v>
      </c>
      <c r="T117" s="57">
        <v>1857</v>
      </c>
      <c r="U117" s="57">
        <v>2441</v>
      </c>
      <c r="V117" s="57">
        <v>2076</v>
      </c>
      <c r="W117" s="57">
        <v>1857</v>
      </c>
      <c r="X117" s="57">
        <v>2127</v>
      </c>
      <c r="Y117" s="57">
        <v>2429</v>
      </c>
      <c r="Z117" s="57">
        <v>3402</v>
      </c>
      <c r="AA117" s="57">
        <v>3892</v>
      </c>
      <c r="AB117" s="57">
        <v>4980</v>
      </c>
      <c r="AC117" s="57">
        <v>4650</v>
      </c>
      <c r="AD117" s="57">
        <v>3289</v>
      </c>
      <c r="AE117" s="57">
        <v>1653</v>
      </c>
      <c r="AF117" s="57">
        <v>2590</v>
      </c>
      <c r="AG117" s="57">
        <v>1943</v>
      </c>
      <c r="AH117" s="57">
        <v>2206</v>
      </c>
      <c r="AI117" s="57">
        <v>1854</v>
      </c>
      <c r="AJ117" s="57">
        <v>2427</v>
      </c>
      <c r="AK117" s="57">
        <v>2442</v>
      </c>
      <c r="AL117" s="57">
        <v>4021</v>
      </c>
      <c r="AM117" s="57">
        <v>4847</v>
      </c>
      <c r="AN117" s="57">
        <v>6000</v>
      </c>
      <c r="AO117" s="57">
        <v>6140</v>
      </c>
      <c r="AP117" s="57">
        <v>3519</v>
      </c>
      <c r="AQ117" s="57">
        <v>2293</v>
      </c>
      <c r="AR117" s="57">
        <v>3227</v>
      </c>
      <c r="AS117" s="57">
        <v>1945</v>
      </c>
      <c r="AT117" s="57">
        <v>2766</v>
      </c>
      <c r="AU117" s="57">
        <v>3388</v>
      </c>
      <c r="AV117" s="57">
        <v>2807</v>
      </c>
      <c r="AW117" s="57">
        <v>2594</v>
      </c>
      <c r="AX117" s="57">
        <v>5383</v>
      </c>
      <c r="AY117" s="57">
        <v>6239</v>
      </c>
      <c r="AZ117" s="57">
        <v>8087</v>
      </c>
      <c r="BA117" s="57">
        <v>6680</v>
      </c>
      <c r="BB117" s="57">
        <v>4169</v>
      </c>
      <c r="BC117" s="57">
        <v>2515</v>
      </c>
      <c r="BD117" s="57">
        <v>2796</v>
      </c>
      <c r="BE117" s="57">
        <v>3610</v>
      </c>
      <c r="BF117" s="57">
        <v>3432</v>
      </c>
      <c r="BG117" s="57">
        <v>2100</v>
      </c>
      <c r="BH117" s="57">
        <v>3730</v>
      </c>
      <c r="BI117" s="57">
        <v>3843</v>
      </c>
      <c r="BJ117" s="57">
        <v>6303</v>
      </c>
      <c r="BK117" s="57">
        <v>7051</v>
      </c>
      <c r="BL117" s="57">
        <v>8775</v>
      </c>
      <c r="BM117" s="57">
        <v>8582</v>
      </c>
      <c r="BN117" s="57">
        <v>5714</v>
      </c>
      <c r="BO117" s="57">
        <v>3190</v>
      </c>
      <c r="BP117" s="57">
        <v>2893</v>
      </c>
      <c r="BQ117" s="57">
        <v>3979</v>
      </c>
      <c r="BR117" s="57">
        <v>3451</v>
      </c>
      <c r="BS117" s="57">
        <v>2345</v>
      </c>
      <c r="BT117" s="57">
        <v>3564</v>
      </c>
      <c r="BU117" s="57">
        <v>3561</v>
      </c>
      <c r="BV117" s="57">
        <v>5046</v>
      </c>
      <c r="BW117" s="57">
        <v>8651</v>
      </c>
      <c r="BX117" s="57">
        <v>9161</v>
      </c>
      <c r="BY117" s="57">
        <v>8233</v>
      </c>
      <c r="BZ117" s="57">
        <v>6205</v>
      </c>
      <c r="CA117" s="57">
        <v>3403</v>
      </c>
      <c r="CB117" s="57">
        <v>3551</v>
      </c>
      <c r="CC117" s="57">
        <v>4082</v>
      </c>
      <c r="CD117" s="57">
        <v>3457</v>
      </c>
      <c r="CE117" s="57">
        <v>4061</v>
      </c>
      <c r="CF117" s="57">
        <v>3709</v>
      </c>
      <c r="CG117" s="57">
        <v>3576</v>
      </c>
      <c r="CH117" s="57">
        <v>2716</v>
      </c>
      <c r="CI117" s="57">
        <v>1077</v>
      </c>
      <c r="CJ117" s="57">
        <v>2177</v>
      </c>
      <c r="CK117" s="57">
        <v>4168</v>
      </c>
      <c r="CL117" s="57">
        <f>25151-20024</f>
        <v>5127</v>
      </c>
      <c r="CM117" s="57">
        <v>2601</v>
      </c>
      <c r="CN117" s="57">
        <v>3095</v>
      </c>
      <c r="CO117" s="57">
        <v>3102</v>
      </c>
      <c r="CP117" s="57">
        <v>2605</v>
      </c>
      <c r="CQ117" s="57">
        <v>2052</v>
      </c>
      <c r="CR117" s="57">
        <v>2898</v>
      </c>
      <c r="CS117" s="57">
        <v>3421</v>
      </c>
      <c r="CT117" s="57">
        <v>4149</v>
      </c>
      <c r="CU117" s="57">
        <v>4153</v>
      </c>
      <c r="CV117" s="57">
        <v>4467</v>
      </c>
      <c r="CW117" s="57">
        <v>6887</v>
      </c>
      <c r="CX117" s="57">
        <v>5597</v>
      </c>
      <c r="CY117" s="57">
        <v>2815</v>
      </c>
      <c r="CZ117" s="57">
        <v>2748</v>
      </c>
      <c r="DA117" s="57">
        <v>2812</v>
      </c>
      <c r="DB117" s="57">
        <v>2519</v>
      </c>
      <c r="DC117" s="57">
        <v>2449</v>
      </c>
    </row>
    <row r="118" spans="1:107" ht="12" customHeight="1" x14ac:dyDescent="0.25">
      <c r="A118" s="58" t="s">
        <v>27</v>
      </c>
      <c r="B118" s="57">
        <v>821</v>
      </c>
      <c r="C118" s="57">
        <v>643</v>
      </c>
      <c r="D118" s="57">
        <v>405</v>
      </c>
      <c r="E118" s="57">
        <v>562</v>
      </c>
      <c r="F118" s="57">
        <v>715</v>
      </c>
      <c r="G118" s="57">
        <v>520</v>
      </c>
      <c r="H118" s="57">
        <v>523</v>
      </c>
      <c r="I118" s="57">
        <v>524</v>
      </c>
      <c r="J118" s="57">
        <v>605</v>
      </c>
      <c r="K118" s="57">
        <v>536</v>
      </c>
      <c r="L118" s="57">
        <v>738</v>
      </c>
      <c r="M118" s="57">
        <v>636</v>
      </c>
      <c r="N118" s="57">
        <v>725</v>
      </c>
      <c r="O118" s="57">
        <v>681</v>
      </c>
      <c r="P118" s="57">
        <v>785</v>
      </c>
      <c r="Q118" s="57">
        <v>740</v>
      </c>
      <c r="R118" s="57">
        <v>906</v>
      </c>
      <c r="S118" s="57">
        <v>529</v>
      </c>
      <c r="T118" s="57">
        <v>674</v>
      </c>
      <c r="U118" s="57">
        <v>707</v>
      </c>
      <c r="V118" s="57">
        <v>671</v>
      </c>
      <c r="W118" s="57">
        <v>555</v>
      </c>
      <c r="X118" s="57">
        <v>846</v>
      </c>
      <c r="Y118" s="57">
        <v>625</v>
      </c>
      <c r="Z118" s="57">
        <v>963</v>
      </c>
      <c r="AA118" s="57">
        <v>657</v>
      </c>
      <c r="AB118" s="57">
        <v>643</v>
      </c>
      <c r="AC118" s="57">
        <v>908</v>
      </c>
      <c r="AD118" s="57">
        <v>1091</v>
      </c>
      <c r="AE118" s="57">
        <v>658</v>
      </c>
      <c r="AF118" s="57">
        <v>968</v>
      </c>
      <c r="AG118" s="57">
        <v>905</v>
      </c>
      <c r="AH118" s="57">
        <v>921</v>
      </c>
      <c r="AI118" s="57">
        <v>959</v>
      </c>
      <c r="AJ118" s="57">
        <v>1065</v>
      </c>
      <c r="AK118" s="57">
        <v>1100</v>
      </c>
      <c r="AL118" s="57">
        <v>1103</v>
      </c>
      <c r="AM118" s="57">
        <v>1151</v>
      </c>
      <c r="AN118" s="57">
        <v>1297</v>
      </c>
      <c r="AO118" s="57">
        <v>1077</v>
      </c>
      <c r="AP118" s="57">
        <v>1209</v>
      </c>
      <c r="AQ118" s="57">
        <v>781</v>
      </c>
      <c r="AR118" s="57">
        <v>982</v>
      </c>
      <c r="AS118" s="57">
        <v>929</v>
      </c>
      <c r="AT118" s="57">
        <v>1110</v>
      </c>
      <c r="AU118" s="57">
        <v>839</v>
      </c>
      <c r="AV118" s="57">
        <v>1243</v>
      </c>
      <c r="AW118" s="57">
        <v>987</v>
      </c>
      <c r="AX118" s="57">
        <v>1410</v>
      </c>
      <c r="AY118" s="57">
        <v>1088</v>
      </c>
      <c r="AZ118" s="57">
        <v>1171</v>
      </c>
      <c r="BA118" s="57">
        <v>1643</v>
      </c>
      <c r="BB118" s="57">
        <v>1102</v>
      </c>
      <c r="BC118" s="57">
        <v>703</v>
      </c>
      <c r="BD118" s="57">
        <v>986</v>
      </c>
      <c r="BE118" s="57">
        <v>1044</v>
      </c>
      <c r="BF118" s="57">
        <v>990</v>
      </c>
      <c r="BG118" s="57">
        <v>713</v>
      </c>
      <c r="BH118" s="57">
        <v>1200</v>
      </c>
      <c r="BI118" s="57">
        <v>1083</v>
      </c>
      <c r="BJ118" s="57">
        <v>1906</v>
      </c>
      <c r="BK118" s="57">
        <v>1058</v>
      </c>
      <c r="BL118" s="57">
        <v>1231</v>
      </c>
      <c r="BM118" s="57">
        <v>1173</v>
      </c>
      <c r="BN118" s="57">
        <v>1138</v>
      </c>
      <c r="BO118" s="57">
        <v>719</v>
      </c>
      <c r="BP118" s="57">
        <v>888</v>
      </c>
      <c r="BQ118" s="57">
        <v>997</v>
      </c>
      <c r="BR118" s="57">
        <v>888</v>
      </c>
      <c r="BS118" s="57">
        <v>675</v>
      </c>
      <c r="BT118" s="57">
        <v>1021</v>
      </c>
      <c r="BU118" s="57">
        <v>891</v>
      </c>
      <c r="BV118" s="57">
        <v>888</v>
      </c>
      <c r="BW118" s="57">
        <v>1475</v>
      </c>
      <c r="BX118" s="57">
        <v>1120</v>
      </c>
      <c r="BY118" s="57">
        <v>1183</v>
      </c>
      <c r="BZ118" s="57">
        <v>1292</v>
      </c>
      <c r="CA118" s="57">
        <v>639</v>
      </c>
      <c r="CB118" s="57">
        <v>993</v>
      </c>
      <c r="CC118" s="57">
        <v>959</v>
      </c>
      <c r="CD118" s="57">
        <v>921</v>
      </c>
      <c r="CE118" s="57">
        <v>838</v>
      </c>
      <c r="CF118" s="57">
        <v>1166</v>
      </c>
      <c r="CG118" s="57">
        <v>1033</v>
      </c>
      <c r="CH118" s="57">
        <v>742</v>
      </c>
      <c r="CI118" s="57">
        <v>234</v>
      </c>
      <c r="CJ118" s="57">
        <v>791</v>
      </c>
      <c r="CK118" s="57">
        <v>947</v>
      </c>
      <c r="CL118" s="57">
        <v>1057</v>
      </c>
      <c r="CM118" s="57">
        <v>729</v>
      </c>
      <c r="CN118" s="57">
        <v>908</v>
      </c>
      <c r="CO118" s="57">
        <v>774</v>
      </c>
      <c r="CP118" s="57">
        <v>1021</v>
      </c>
      <c r="CQ118" s="57">
        <v>659</v>
      </c>
      <c r="CR118" s="57">
        <v>841</v>
      </c>
      <c r="CS118" s="57">
        <v>894</v>
      </c>
      <c r="CT118" s="57">
        <v>964</v>
      </c>
      <c r="CU118" s="57">
        <v>972</v>
      </c>
      <c r="CV118" s="57">
        <v>1028</v>
      </c>
      <c r="CW118" s="57">
        <v>1095</v>
      </c>
      <c r="CX118" s="57">
        <v>1190</v>
      </c>
      <c r="CY118" s="57">
        <v>587</v>
      </c>
      <c r="CZ118" s="57">
        <v>1018</v>
      </c>
      <c r="DA118" s="57">
        <v>814</v>
      </c>
      <c r="DB118" s="57">
        <v>727</v>
      </c>
      <c r="DC118" s="57">
        <v>494</v>
      </c>
    </row>
    <row r="119" spans="1:107" ht="12" customHeight="1" x14ac:dyDescent="0.25">
      <c r="A119" s="54" t="s">
        <v>50</v>
      </c>
      <c r="B119" s="57">
        <v>12071</v>
      </c>
      <c r="C119" s="57">
        <v>10562</v>
      </c>
      <c r="D119" s="57">
        <v>13820</v>
      </c>
      <c r="E119" s="57">
        <v>15061</v>
      </c>
      <c r="F119" s="57">
        <v>14533</v>
      </c>
      <c r="G119" s="57">
        <v>11595</v>
      </c>
      <c r="H119" s="57">
        <v>13208</v>
      </c>
      <c r="I119" s="57">
        <v>15346</v>
      </c>
      <c r="J119" s="57">
        <v>14697</v>
      </c>
      <c r="K119" s="57">
        <v>14539</v>
      </c>
      <c r="L119" s="57">
        <v>13638</v>
      </c>
      <c r="M119" s="57">
        <v>12779</v>
      </c>
      <c r="N119" s="57">
        <v>16576</v>
      </c>
      <c r="O119" s="57">
        <v>17498</v>
      </c>
      <c r="P119" s="57">
        <v>15396</v>
      </c>
      <c r="Q119" s="57">
        <v>18171</v>
      </c>
      <c r="R119" s="57">
        <v>17700</v>
      </c>
      <c r="S119" s="57">
        <v>13937</v>
      </c>
      <c r="T119" s="57">
        <v>15775</v>
      </c>
      <c r="U119" s="57">
        <v>17791</v>
      </c>
      <c r="V119" s="57">
        <v>16365</v>
      </c>
      <c r="W119" s="57">
        <v>16688</v>
      </c>
      <c r="X119" s="57">
        <v>15727</v>
      </c>
      <c r="Y119" s="57">
        <v>16383</v>
      </c>
      <c r="Z119" s="57">
        <v>21155</v>
      </c>
      <c r="AA119" s="57">
        <v>20568</v>
      </c>
      <c r="AB119" s="57">
        <v>18113</v>
      </c>
      <c r="AC119" s="57">
        <v>21315</v>
      </c>
      <c r="AD119" s="57">
        <v>21415</v>
      </c>
      <c r="AE119" s="57">
        <v>18278</v>
      </c>
      <c r="AF119" s="57">
        <v>18056</v>
      </c>
      <c r="AG119" s="57">
        <v>19658</v>
      </c>
      <c r="AH119" s="57">
        <v>20421</v>
      </c>
      <c r="AI119" s="57">
        <v>19768</v>
      </c>
      <c r="AJ119" s="57">
        <v>17500</v>
      </c>
      <c r="AK119" s="57">
        <v>19299</v>
      </c>
      <c r="AL119" s="57">
        <v>22799</v>
      </c>
      <c r="AM119" s="57">
        <v>23131</v>
      </c>
      <c r="AN119" s="57">
        <v>24335</v>
      </c>
      <c r="AO119" s="57">
        <v>25714</v>
      </c>
      <c r="AP119" s="57">
        <v>18739</v>
      </c>
      <c r="AQ119" s="57">
        <v>21251</v>
      </c>
      <c r="AR119" s="57">
        <v>19946</v>
      </c>
      <c r="AS119" s="57">
        <v>21905</v>
      </c>
      <c r="AT119" s="57">
        <v>23161</v>
      </c>
      <c r="AU119" s="57">
        <v>21913</v>
      </c>
      <c r="AV119" s="57">
        <v>20818</v>
      </c>
      <c r="AW119" s="57">
        <v>20455</v>
      </c>
      <c r="AX119" s="57">
        <v>26786</v>
      </c>
      <c r="AY119" s="57">
        <v>22749</v>
      </c>
      <c r="AZ119" s="57">
        <v>27009</v>
      </c>
      <c r="BA119" s="57">
        <v>26634</v>
      </c>
      <c r="BB119" s="57">
        <v>19649</v>
      </c>
      <c r="BC119" s="57">
        <v>21192</v>
      </c>
      <c r="BD119" s="57">
        <v>20219</v>
      </c>
      <c r="BE119" s="57">
        <v>23192</v>
      </c>
      <c r="BF119" s="57">
        <v>22925</v>
      </c>
      <c r="BG119" s="57">
        <v>19967</v>
      </c>
      <c r="BH119" s="57">
        <v>23219</v>
      </c>
      <c r="BI119" s="57">
        <v>20201</v>
      </c>
      <c r="BJ119" s="57">
        <v>24453</v>
      </c>
      <c r="BK119" s="57">
        <v>24259</v>
      </c>
      <c r="BL119" s="57">
        <v>25720</v>
      </c>
      <c r="BM119" s="57">
        <v>25932</v>
      </c>
      <c r="BN119" s="57">
        <v>21638</v>
      </c>
      <c r="BO119" s="57">
        <v>27830</v>
      </c>
      <c r="BP119" s="57">
        <v>14532</v>
      </c>
      <c r="BQ119" s="57">
        <v>19704</v>
      </c>
      <c r="BR119" s="57">
        <v>19283</v>
      </c>
      <c r="BS119" s="57">
        <v>14666</v>
      </c>
      <c r="BT119" s="57">
        <v>19278</v>
      </c>
      <c r="BU119" s="57">
        <v>18847</v>
      </c>
      <c r="BV119" s="57">
        <v>21491</v>
      </c>
      <c r="BW119" s="57">
        <v>22921</v>
      </c>
      <c r="BX119" s="57">
        <v>24059</v>
      </c>
      <c r="BY119" s="57">
        <v>21902</v>
      </c>
      <c r="BZ119" s="57">
        <v>21816</v>
      </c>
      <c r="CA119" s="57">
        <v>25026</v>
      </c>
      <c r="CB119" s="57">
        <v>15770</v>
      </c>
      <c r="CC119" s="57">
        <v>19935</v>
      </c>
      <c r="CD119" s="57">
        <v>20163</v>
      </c>
      <c r="CE119" s="57">
        <v>18707</v>
      </c>
      <c r="CF119" s="57">
        <v>19132</v>
      </c>
      <c r="CG119" s="57">
        <v>17377</v>
      </c>
      <c r="CH119" s="57">
        <v>13685</v>
      </c>
      <c r="CI119" s="57">
        <v>10679</v>
      </c>
      <c r="CJ119" s="57">
        <v>13385</v>
      </c>
      <c r="CK119" s="57">
        <v>20771</v>
      </c>
      <c r="CL119" s="57">
        <v>19770</v>
      </c>
      <c r="CM119" s="57">
        <v>16611</v>
      </c>
      <c r="CN119" s="57">
        <v>16909</v>
      </c>
      <c r="CO119" s="57">
        <v>16835</v>
      </c>
      <c r="CP119" s="57">
        <v>17484</v>
      </c>
      <c r="CQ119" s="57">
        <v>20333</v>
      </c>
      <c r="CR119" s="57">
        <v>14794</v>
      </c>
      <c r="CS119" s="57">
        <v>14687</v>
      </c>
      <c r="CT119" s="57">
        <v>20053</v>
      </c>
      <c r="CU119" s="57">
        <v>18976</v>
      </c>
      <c r="CV119" s="57">
        <v>21734</v>
      </c>
      <c r="CW119" s="57">
        <v>22561</v>
      </c>
      <c r="CX119" s="57">
        <v>18405</v>
      </c>
      <c r="CY119" s="57">
        <v>16449</v>
      </c>
      <c r="CZ119" s="57">
        <v>14165</v>
      </c>
      <c r="DA119" s="57">
        <v>12670</v>
      </c>
      <c r="DB119" s="57">
        <v>16174</v>
      </c>
      <c r="DC119" s="57">
        <v>16208</v>
      </c>
    </row>
    <row r="120" spans="1:107" ht="12" customHeight="1" x14ac:dyDescent="0.25">
      <c r="A120" s="54" t="s">
        <v>25</v>
      </c>
      <c r="B120" s="57">
        <f>1712+776+998</f>
        <v>3486</v>
      </c>
      <c r="C120" s="57">
        <v>2908</v>
      </c>
      <c r="D120" s="57">
        <f>1612+805+955</f>
        <v>3372</v>
      </c>
      <c r="E120" s="57">
        <f>1913+796+1043</f>
        <v>3752</v>
      </c>
      <c r="F120" s="57">
        <v>3775</v>
      </c>
      <c r="G120" s="57">
        <v>3133</v>
      </c>
      <c r="H120" s="57">
        <f>909+940+986</f>
        <v>2835</v>
      </c>
      <c r="I120" s="57">
        <f>2346+1061+1195</f>
        <v>4602</v>
      </c>
      <c r="J120" s="57">
        <f>1649+994+1136</f>
        <v>3779</v>
      </c>
      <c r="K120" s="57">
        <v>2739</v>
      </c>
      <c r="L120" s="57">
        <v>3782</v>
      </c>
      <c r="M120" s="57">
        <f>1389+903+1094</f>
        <v>3386</v>
      </c>
      <c r="N120" s="57">
        <f>1709+981+1136</f>
        <v>3826</v>
      </c>
      <c r="O120" s="57">
        <v>4385</v>
      </c>
      <c r="P120" s="57">
        <f>1971+1121+1338</f>
        <v>4430</v>
      </c>
      <c r="Q120" s="57">
        <f>1893+1308+1223</f>
        <v>4424</v>
      </c>
      <c r="R120" s="57">
        <f>1901+1176+1446</f>
        <v>4523</v>
      </c>
      <c r="S120" s="57">
        <f>1542+921+964</f>
        <v>3427</v>
      </c>
      <c r="T120" s="57">
        <f>1841+794+1276</f>
        <v>3911</v>
      </c>
      <c r="U120" s="57">
        <f>2049+1207+1252</f>
        <v>4508</v>
      </c>
      <c r="V120" s="57">
        <f>1953+1006+1158</f>
        <v>4117</v>
      </c>
      <c r="W120" s="57">
        <f>985+1000+1022</f>
        <v>3007</v>
      </c>
      <c r="X120" s="57">
        <f>1624+1148+1422</f>
        <v>4194</v>
      </c>
      <c r="Y120" s="57">
        <f>829+1067+1223</f>
        <v>3119</v>
      </c>
      <c r="Z120" s="57">
        <f>1946+1233+1269</f>
        <v>4448</v>
      </c>
      <c r="AA120" s="57">
        <f>1984+1238+1747</f>
        <v>4969</v>
      </c>
      <c r="AB120" s="57">
        <f>1712+1174+1467</f>
        <v>4353</v>
      </c>
      <c r="AC120" s="57">
        <f>1971+1243+1591</f>
        <v>4805</v>
      </c>
      <c r="AD120" s="57">
        <f>1861+1237+1563</f>
        <v>4661</v>
      </c>
      <c r="AE120" s="57">
        <f>1524+1000+1208</f>
        <v>3732</v>
      </c>
      <c r="AF120" s="57">
        <v>4531</v>
      </c>
      <c r="AG120" s="57">
        <f>1867+1291+1576</f>
        <v>4734</v>
      </c>
      <c r="AH120" s="57">
        <f>1552+1128+1438</f>
        <v>4118</v>
      </c>
      <c r="AI120" s="57">
        <f>1268+1060+1207</f>
        <v>3535</v>
      </c>
      <c r="AJ120" s="57">
        <v>4434</v>
      </c>
      <c r="AK120" s="57">
        <v>4276</v>
      </c>
      <c r="AL120" s="57">
        <f>2021+1548+1634</f>
        <v>5203</v>
      </c>
      <c r="AM120" s="57">
        <v>5633</v>
      </c>
      <c r="AN120" s="57">
        <v>5776</v>
      </c>
      <c r="AO120" s="57">
        <v>5988</v>
      </c>
      <c r="AP120" s="57">
        <f>1924+1104+1656</f>
        <v>4684</v>
      </c>
      <c r="AQ120" s="57">
        <f>1831+1168+1553</f>
        <v>4552</v>
      </c>
      <c r="AR120" s="57">
        <v>5139</v>
      </c>
      <c r="AS120" s="57">
        <v>4904</v>
      </c>
      <c r="AT120" s="57">
        <v>4653</v>
      </c>
      <c r="AU120" s="57">
        <v>3866</v>
      </c>
      <c r="AV120" s="57">
        <v>5300</v>
      </c>
      <c r="AW120" s="57">
        <v>4430</v>
      </c>
      <c r="AX120" s="57">
        <f>2232+1442+2053</f>
        <v>5727</v>
      </c>
      <c r="AY120" s="57">
        <v>5897</v>
      </c>
      <c r="AZ120" s="57">
        <v>6472</v>
      </c>
      <c r="BA120" s="57">
        <v>6934</v>
      </c>
      <c r="BB120" s="57">
        <v>5199</v>
      </c>
      <c r="BC120" s="57">
        <v>5605</v>
      </c>
      <c r="BD120" s="57">
        <v>5641</v>
      </c>
      <c r="BE120" s="57">
        <f>2076+1413+2316</f>
        <v>5805</v>
      </c>
      <c r="BF120" s="57">
        <v>5803</v>
      </c>
      <c r="BG120" s="57">
        <v>4764</v>
      </c>
      <c r="BH120" s="57">
        <v>6087</v>
      </c>
      <c r="BI120" s="57">
        <v>4766</v>
      </c>
      <c r="BJ120" s="57">
        <v>6441</v>
      </c>
      <c r="BK120" s="57">
        <v>7019</v>
      </c>
      <c r="BL120" s="57">
        <v>7389</v>
      </c>
      <c r="BM120" s="57">
        <v>7524</v>
      </c>
      <c r="BN120" s="57">
        <v>6309</v>
      </c>
      <c r="BO120" s="57">
        <v>7576</v>
      </c>
      <c r="BP120" s="57">
        <v>4894</v>
      </c>
      <c r="BQ120" s="57">
        <v>6164</v>
      </c>
      <c r="BR120" s="57">
        <v>5905</v>
      </c>
      <c r="BS120" s="57">
        <v>4639</v>
      </c>
      <c r="BT120" s="57">
        <v>6871</v>
      </c>
      <c r="BU120" s="57">
        <v>6187</v>
      </c>
      <c r="BV120" s="57">
        <v>7822</v>
      </c>
      <c r="BW120" s="57">
        <v>8628</v>
      </c>
      <c r="BX120" s="57">
        <v>8814</v>
      </c>
      <c r="BY120" s="57">
        <v>8587</v>
      </c>
      <c r="BZ120" s="57">
        <v>7707</v>
      </c>
      <c r="CA120" s="57">
        <v>7848</v>
      </c>
      <c r="CB120" s="57">
        <v>7014</v>
      </c>
      <c r="CC120" s="57">
        <v>7730</v>
      </c>
      <c r="CD120" s="57">
        <v>7663</v>
      </c>
      <c r="CE120" s="57">
        <v>6414</v>
      </c>
      <c r="CF120" s="57">
        <v>7993</v>
      </c>
      <c r="CG120" s="57">
        <v>7264</v>
      </c>
      <c r="CH120" s="57">
        <v>4988</v>
      </c>
      <c r="CI120" s="57">
        <v>2885</v>
      </c>
      <c r="CJ120" s="57">
        <v>3845</v>
      </c>
      <c r="CK120" s="57">
        <v>5548</v>
      </c>
      <c r="CL120" s="57">
        <v>6868</v>
      </c>
      <c r="CM120" s="57">
        <f>1461+1113+3397</f>
        <v>5971</v>
      </c>
      <c r="CN120" s="57">
        <v>7554</v>
      </c>
      <c r="CO120" s="57">
        <v>6066</v>
      </c>
      <c r="CP120" s="57">
        <f>1504+1234+4306</f>
        <v>7044</v>
      </c>
      <c r="CQ120" s="57">
        <f>1110+4245+1465</f>
        <v>6820</v>
      </c>
      <c r="CR120" s="57">
        <v>5277</v>
      </c>
      <c r="CS120" s="57">
        <v>4943</v>
      </c>
      <c r="CT120" s="57">
        <v>6564</v>
      </c>
      <c r="CU120" s="57">
        <v>7404</v>
      </c>
      <c r="CV120" s="57">
        <v>7516</v>
      </c>
      <c r="CW120" s="57">
        <v>7568</v>
      </c>
      <c r="CX120" s="57">
        <v>7359</v>
      </c>
      <c r="CY120" s="57">
        <v>4898</v>
      </c>
      <c r="CZ120" s="57">
        <v>4900</v>
      </c>
      <c r="DA120" s="57">
        <v>3760</v>
      </c>
      <c r="DB120" s="57">
        <v>4055</v>
      </c>
      <c r="DC120" s="57">
        <v>3807</v>
      </c>
    </row>
    <row r="121" spans="1:107" ht="12" customHeight="1" x14ac:dyDescent="0.25">
      <c r="A121" s="54" t="s">
        <v>22</v>
      </c>
      <c r="B121" s="57">
        <v>3649</v>
      </c>
      <c r="C121" s="57">
        <v>3843</v>
      </c>
      <c r="D121" s="57">
        <v>5067</v>
      </c>
      <c r="E121" s="57">
        <v>4621</v>
      </c>
      <c r="F121" s="57">
        <v>5045</v>
      </c>
      <c r="G121" s="57">
        <v>4167</v>
      </c>
      <c r="H121" s="57">
        <v>4657</v>
      </c>
      <c r="I121" s="57">
        <v>5144</v>
      </c>
      <c r="J121" s="57">
        <v>4941</v>
      </c>
      <c r="K121" s="57">
        <v>5025</v>
      </c>
      <c r="L121" s="57">
        <v>4374</v>
      </c>
      <c r="M121" s="57">
        <v>4956</v>
      </c>
      <c r="N121" s="57">
        <v>6166</v>
      </c>
      <c r="O121" s="57">
        <v>5506</v>
      </c>
      <c r="P121" s="57">
        <v>5740</v>
      </c>
      <c r="Q121" s="57">
        <v>6250</v>
      </c>
      <c r="R121" s="57">
        <v>6140</v>
      </c>
      <c r="S121" s="57">
        <v>4766</v>
      </c>
      <c r="T121" s="57">
        <v>5486</v>
      </c>
      <c r="U121" s="57">
        <v>6118</v>
      </c>
      <c r="V121" s="57">
        <v>5897</v>
      </c>
      <c r="W121" s="57">
        <v>6077</v>
      </c>
      <c r="X121" s="57">
        <v>4872</v>
      </c>
      <c r="Y121" s="57">
        <v>5904</v>
      </c>
      <c r="Z121" s="57">
        <v>6282</v>
      </c>
      <c r="AA121" s="57">
        <v>6751</v>
      </c>
      <c r="AB121" s="57">
        <v>5860</v>
      </c>
      <c r="AC121" s="57">
        <v>7356</v>
      </c>
      <c r="AD121" s="57">
        <v>7010</v>
      </c>
      <c r="AE121" s="57">
        <v>4997</v>
      </c>
      <c r="AF121" s="57">
        <v>6270</v>
      </c>
      <c r="AG121" s="57">
        <v>8189</v>
      </c>
      <c r="AH121" s="57">
        <v>6589</v>
      </c>
      <c r="AI121" s="57">
        <v>7091</v>
      </c>
      <c r="AJ121" s="57">
        <v>5567</v>
      </c>
      <c r="AK121" s="57">
        <v>6626</v>
      </c>
      <c r="AL121" s="57">
        <v>7495</v>
      </c>
      <c r="AM121" s="57">
        <v>8072</v>
      </c>
      <c r="AN121" s="57">
        <v>8507</v>
      </c>
      <c r="AO121" s="57">
        <v>9692</v>
      </c>
      <c r="AP121" s="57">
        <v>8074</v>
      </c>
      <c r="AQ121" s="57">
        <v>7181</v>
      </c>
      <c r="AR121" s="57">
        <v>8226</v>
      </c>
      <c r="AS121" s="57">
        <v>7952</v>
      </c>
      <c r="AT121" s="57">
        <v>9408</v>
      </c>
      <c r="AU121" s="57">
        <v>9752</v>
      </c>
      <c r="AV121" s="57">
        <v>6418</v>
      </c>
      <c r="AW121" s="57">
        <v>8000</v>
      </c>
      <c r="AX121" s="57">
        <v>9928</v>
      </c>
      <c r="AY121" s="57">
        <v>8678</v>
      </c>
      <c r="AZ121" s="57">
        <v>10951</v>
      </c>
      <c r="BA121" s="57">
        <v>10818</v>
      </c>
      <c r="BB121" s="57">
        <v>9348</v>
      </c>
      <c r="BC121" s="57">
        <v>8912</v>
      </c>
      <c r="BD121" s="57">
        <v>9607</v>
      </c>
      <c r="BE121" s="57">
        <v>10365</v>
      </c>
      <c r="BF121" s="57">
        <v>12362</v>
      </c>
      <c r="BG121" s="57">
        <v>10878</v>
      </c>
      <c r="BH121" s="57">
        <v>8891</v>
      </c>
      <c r="BI121" s="57">
        <v>9970</v>
      </c>
      <c r="BJ121" s="57">
        <v>12748</v>
      </c>
      <c r="BK121" s="57">
        <v>12055</v>
      </c>
      <c r="BL121" s="57">
        <v>12878</v>
      </c>
      <c r="BM121" s="57">
        <v>14191</v>
      </c>
      <c r="BN121" s="57">
        <v>12060</v>
      </c>
      <c r="BO121" s="57">
        <v>12931</v>
      </c>
      <c r="BP121" s="57">
        <v>8888</v>
      </c>
      <c r="BQ121" s="57">
        <v>10927</v>
      </c>
      <c r="BR121" s="57">
        <v>11371</v>
      </c>
      <c r="BS121" s="57">
        <v>9684</v>
      </c>
      <c r="BT121" s="57">
        <v>9714</v>
      </c>
      <c r="BU121" s="57">
        <v>11226</v>
      </c>
      <c r="BV121" s="57">
        <v>13395</v>
      </c>
      <c r="BW121" s="57">
        <v>12411</v>
      </c>
      <c r="BX121" s="57">
        <v>14217</v>
      </c>
      <c r="BY121" s="57">
        <v>13580</v>
      </c>
      <c r="BZ121" s="57">
        <v>15283</v>
      </c>
      <c r="CA121" s="57">
        <v>15618</v>
      </c>
      <c r="CB121" s="57">
        <v>9655</v>
      </c>
      <c r="CC121" s="57">
        <v>12450</v>
      </c>
      <c r="CD121" s="57">
        <v>14214</v>
      </c>
      <c r="CE121" s="57">
        <v>16137</v>
      </c>
      <c r="CF121" s="57">
        <v>10113</v>
      </c>
      <c r="CG121" s="57">
        <v>11079</v>
      </c>
      <c r="CH121" s="57">
        <v>11478</v>
      </c>
      <c r="CI121" s="57">
        <v>6171</v>
      </c>
      <c r="CJ121" s="57">
        <v>6474</v>
      </c>
      <c r="CK121" s="57">
        <v>10359</v>
      </c>
      <c r="CL121" s="57">
        <v>12047</v>
      </c>
      <c r="CM121" s="57">
        <v>10924</v>
      </c>
      <c r="CN121" s="57">
        <v>11446</v>
      </c>
      <c r="CO121" s="57">
        <v>11947</v>
      </c>
      <c r="CP121" s="57">
        <v>13269</v>
      </c>
      <c r="CQ121" s="57">
        <v>12714</v>
      </c>
      <c r="CR121" s="57">
        <v>8867</v>
      </c>
      <c r="CS121" s="57">
        <v>10893</v>
      </c>
      <c r="CT121" s="57">
        <v>12434</v>
      </c>
      <c r="CU121" s="57">
        <v>10520</v>
      </c>
      <c r="CV121" s="57">
        <v>10703</v>
      </c>
      <c r="CW121" s="57">
        <v>11377</v>
      </c>
      <c r="CX121" s="57">
        <v>10568</v>
      </c>
      <c r="CY121" s="57">
        <v>9643</v>
      </c>
      <c r="CZ121" s="57">
        <v>9523</v>
      </c>
      <c r="DA121" s="57">
        <v>9132</v>
      </c>
      <c r="DB121" s="57">
        <v>9495</v>
      </c>
      <c r="DC121" s="57">
        <v>8765</v>
      </c>
    </row>
    <row r="122" spans="1:107" ht="12" customHeight="1" x14ac:dyDescent="0.25">
      <c r="A122" s="54" t="s">
        <v>21</v>
      </c>
      <c r="B122" s="57">
        <v>29880</v>
      </c>
      <c r="C122" s="57">
        <v>20706</v>
      </c>
      <c r="D122" s="57">
        <v>25403</v>
      </c>
      <c r="E122" s="57">
        <v>27426</v>
      </c>
      <c r="F122" s="57">
        <v>21075</v>
      </c>
      <c r="G122" s="57">
        <v>19067</v>
      </c>
      <c r="H122" s="57">
        <v>21628</v>
      </c>
      <c r="I122" s="57">
        <v>28369</v>
      </c>
      <c r="J122" s="57">
        <v>22092</v>
      </c>
      <c r="K122" s="57">
        <v>26435</v>
      </c>
      <c r="L122" s="57">
        <v>29181</v>
      </c>
      <c r="M122" s="57">
        <v>32593</v>
      </c>
      <c r="N122" s="57">
        <v>35848</v>
      </c>
      <c r="O122" s="57">
        <v>28044</v>
      </c>
      <c r="P122" s="57">
        <v>24494</v>
      </c>
      <c r="Q122" s="57">
        <v>25748</v>
      </c>
      <c r="R122" s="57">
        <f>199862-175908</f>
        <v>23954</v>
      </c>
      <c r="S122" s="57">
        <v>21615</v>
      </c>
      <c r="T122" s="57">
        <v>23565</v>
      </c>
      <c r="U122" s="57">
        <v>28690</v>
      </c>
      <c r="V122" s="57">
        <v>24322</v>
      </c>
      <c r="W122" s="57">
        <v>29165</v>
      </c>
      <c r="X122" s="57">
        <v>29673</v>
      </c>
      <c r="Y122" s="57">
        <v>28396</v>
      </c>
      <c r="Z122" s="57">
        <v>33601</v>
      </c>
      <c r="AA122" s="57">
        <v>28526</v>
      </c>
      <c r="AB122" s="57">
        <v>27186</v>
      </c>
      <c r="AC122" s="57">
        <v>30390</v>
      </c>
      <c r="AD122" s="57">
        <v>29654</v>
      </c>
      <c r="AE122" s="57">
        <v>23559</v>
      </c>
      <c r="AF122" s="57">
        <v>25271</v>
      </c>
      <c r="AG122" s="57">
        <v>28925</v>
      </c>
      <c r="AH122" s="57">
        <v>30312</v>
      </c>
      <c r="AI122" s="57">
        <v>37361</v>
      </c>
      <c r="AJ122" s="57">
        <v>31796</v>
      </c>
      <c r="AK122" s="57">
        <v>33663</v>
      </c>
      <c r="AL122" s="57">
        <v>39229</v>
      </c>
      <c r="AM122" s="57">
        <v>34517</v>
      </c>
      <c r="AN122" s="57">
        <v>32968</v>
      </c>
      <c r="AO122" s="57">
        <v>38555</v>
      </c>
      <c r="AP122" s="57">
        <v>31299</v>
      </c>
      <c r="AQ122" s="57">
        <v>28323</v>
      </c>
      <c r="AR122" s="57">
        <v>32616</v>
      </c>
      <c r="AS122" s="57">
        <v>32245</v>
      </c>
      <c r="AT122" s="57">
        <v>37275</v>
      </c>
      <c r="AU122" s="57">
        <v>43637</v>
      </c>
      <c r="AV122" s="57">
        <v>38076</v>
      </c>
      <c r="AW122" s="57">
        <v>38427</v>
      </c>
      <c r="AX122" s="57">
        <f>-76503+125981</f>
        <v>49478</v>
      </c>
      <c r="AY122" s="57">
        <v>39427</v>
      </c>
      <c r="AZ122" s="57">
        <v>39773</v>
      </c>
      <c r="BA122" s="57">
        <v>41833</v>
      </c>
      <c r="BB122" s="57">
        <v>36886</v>
      </c>
      <c r="BC122" s="57">
        <v>34505</v>
      </c>
      <c r="BD122" s="57">
        <v>37056</v>
      </c>
      <c r="BE122" s="57">
        <v>40507</v>
      </c>
      <c r="BF122" s="57">
        <v>41210</v>
      </c>
      <c r="BG122" s="57">
        <v>49174</v>
      </c>
      <c r="BH122" s="57">
        <v>46084</v>
      </c>
      <c r="BI122" s="57">
        <v>42132</v>
      </c>
      <c r="BJ122" s="57">
        <v>51669</v>
      </c>
      <c r="BK122" s="57">
        <v>44716</v>
      </c>
      <c r="BL122" s="57">
        <v>42354</v>
      </c>
      <c r="BM122" s="57">
        <v>46090</v>
      </c>
      <c r="BN122" s="57">
        <v>46285</v>
      </c>
      <c r="BO122" s="57">
        <v>56701</v>
      </c>
      <c r="BP122" s="57">
        <v>27312</v>
      </c>
      <c r="BQ122" s="57">
        <v>39908</v>
      </c>
      <c r="BR122" s="57">
        <v>43248</v>
      </c>
      <c r="BS122" s="57">
        <v>45390</v>
      </c>
      <c r="BT122" s="57">
        <v>45927</v>
      </c>
      <c r="BU122" s="57">
        <v>43764</v>
      </c>
      <c r="BV122" s="57">
        <v>50113</v>
      </c>
      <c r="BW122" s="57">
        <v>46384</v>
      </c>
      <c r="BX122" s="57">
        <v>47094</v>
      </c>
      <c r="BY122" s="57">
        <v>45050</v>
      </c>
      <c r="BZ122" s="57">
        <v>49065</v>
      </c>
      <c r="CA122" s="57">
        <v>48107</v>
      </c>
      <c r="CB122" s="57">
        <v>35325</v>
      </c>
      <c r="CC122" s="57">
        <v>46895</v>
      </c>
      <c r="CD122" s="57">
        <v>45375</v>
      </c>
      <c r="CE122" s="57">
        <v>52499</v>
      </c>
      <c r="CF122" s="57">
        <v>39471</v>
      </c>
      <c r="CG122" s="57">
        <v>38513</v>
      </c>
      <c r="CH122" s="57">
        <v>29657</v>
      </c>
      <c r="CI122" s="57">
        <v>15234</v>
      </c>
      <c r="CJ122" s="57">
        <v>21149</v>
      </c>
      <c r="CK122" s="57">
        <v>35797</v>
      </c>
      <c r="CL122" s="57">
        <v>42439</v>
      </c>
      <c r="CM122" s="57">
        <v>34707</v>
      </c>
      <c r="CN122" s="57">
        <v>38147</v>
      </c>
      <c r="CO122" s="57">
        <v>40064</v>
      </c>
      <c r="CP122" s="57">
        <v>41675</v>
      </c>
      <c r="CQ122" s="57">
        <v>51507</v>
      </c>
      <c r="CR122" s="57">
        <v>32262</v>
      </c>
      <c r="CS122" s="57">
        <v>37754</v>
      </c>
      <c r="CT122" s="57">
        <v>47849</v>
      </c>
      <c r="CU122" s="57">
        <v>40149</v>
      </c>
      <c r="CV122" s="57">
        <v>41388</v>
      </c>
      <c r="CW122" s="57">
        <v>43711</v>
      </c>
      <c r="CX122" s="57">
        <v>37859</v>
      </c>
      <c r="CY122" s="57">
        <v>33218</v>
      </c>
      <c r="CZ122" s="57">
        <v>33085</v>
      </c>
      <c r="DA122" s="57">
        <v>31259</v>
      </c>
      <c r="DB122" s="57">
        <v>31981</v>
      </c>
      <c r="DC122" s="57">
        <v>36132</v>
      </c>
    </row>
    <row r="123" spans="1:107" ht="12" customHeight="1" x14ac:dyDescent="0.25">
      <c r="A123" s="54" t="s">
        <v>26</v>
      </c>
      <c r="B123" s="57">
        <v>4436</v>
      </c>
      <c r="C123" s="57">
        <v>3473</v>
      </c>
      <c r="D123" s="57">
        <v>4960</v>
      </c>
      <c r="E123" s="57">
        <v>5242</v>
      </c>
      <c r="F123" s="57">
        <v>7105</v>
      </c>
      <c r="G123" s="57">
        <v>5424</v>
      </c>
      <c r="H123" s="57">
        <v>6831</v>
      </c>
      <c r="I123" s="57">
        <v>5594</v>
      </c>
      <c r="J123" s="57">
        <v>5474</v>
      </c>
      <c r="K123" s="57">
        <v>5569</v>
      </c>
      <c r="L123" s="57">
        <v>5118</v>
      </c>
      <c r="M123" s="57">
        <v>3650</v>
      </c>
      <c r="N123" s="57">
        <v>4577</v>
      </c>
      <c r="O123" s="57">
        <v>4932</v>
      </c>
      <c r="P123" s="57">
        <v>6001</v>
      </c>
      <c r="Q123" s="57">
        <v>6947</v>
      </c>
      <c r="R123" s="57">
        <v>8368</v>
      </c>
      <c r="S123" s="57">
        <v>6410</v>
      </c>
      <c r="T123" s="57">
        <v>5561</v>
      </c>
      <c r="U123" s="57">
        <v>7344</v>
      </c>
      <c r="V123" s="57">
        <v>5669</v>
      </c>
      <c r="W123" s="57">
        <v>5595</v>
      </c>
      <c r="X123" s="57">
        <v>4978</v>
      </c>
      <c r="Y123" s="57">
        <v>4116</v>
      </c>
      <c r="Z123" s="57">
        <v>5358</v>
      </c>
      <c r="AA123" s="57">
        <v>5463</v>
      </c>
      <c r="AB123" s="57">
        <v>5927</v>
      </c>
      <c r="AC123" s="57">
        <v>8630</v>
      </c>
      <c r="AD123" s="57">
        <v>9253</v>
      </c>
      <c r="AE123" s="57">
        <v>7455</v>
      </c>
      <c r="AF123" s="57">
        <v>5659</v>
      </c>
      <c r="AG123" s="57">
        <v>7562</v>
      </c>
      <c r="AH123" s="57">
        <v>8022</v>
      </c>
      <c r="AI123" s="57">
        <v>8739</v>
      </c>
      <c r="AJ123" s="57">
        <v>5800</v>
      </c>
      <c r="AK123" s="57">
        <v>5099</v>
      </c>
      <c r="AL123" s="57">
        <v>6572</v>
      </c>
      <c r="AM123" s="57">
        <v>6174</v>
      </c>
      <c r="AN123" s="57">
        <v>6345</v>
      </c>
      <c r="AO123" s="57">
        <v>5462</v>
      </c>
      <c r="AP123" s="57">
        <v>10773</v>
      </c>
      <c r="AQ123" s="57">
        <v>12411</v>
      </c>
      <c r="AR123" s="57">
        <v>9361</v>
      </c>
      <c r="AS123" s="57">
        <v>7951</v>
      </c>
      <c r="AT123" s="57">
        <v>9640</v>
      </c>
      <c r="AU123" s="57">
        <v>9336</v>
      </c>
      <c r="AV123" s="57">
        <v>7059</v>
      </c>
      <c r="AW123" s="57">
        <v>8302</v>
      </c>
      <c r="AX123" s="57">
        <v>6915</v>
      </c>
      <c r="AY123" s="57">
        <v>6640</v>
      </c>
      <c r="AZ123" s="57">
        <v>8062</v>
      </c>
      <c r="BA123" s="57">
        <v>8030</v>
      </c>
      <c r="BB123" s="57">
        <v>11335</v>
      </c>
      <c r="BC123" s="57">
        <v>12001</v>
      </c>
      <c r="BD123" s="57">
        <v>24626</v>
      </c>
      <c r="BE123" s="57">
        <v>10036</v>
      </c>
      <c r="BF123" s="57">
        <v>9311</v>
      </c>
      <c r="BG123" s="57">
        <v>6967</v>
      </c>
      <c r="BH123" s="57">
        <v>7164</v>
      </c>
      <c r="BI123" s="57">
        <v>8777</v>
      </c>
      <c r="BJ123" s="57">
        <v>8122</v>
      </c>
      <c r="BK123" s="57">
        <v>7629</v>
      </c>
      <c r="BL123" s="57">
        <v>11555</v>
      </c>
      <c r="BM123" s="57">
        <v>12241</v>
      </c>
      <c r="BN123" s="57">
        <v>15210</v>
      </c>
      <c r="BO123" s="57">
        <v>25546</v>
      </c>
      <c r="BP123" s="57">
        <v>2771</v>
      </c>
      <c r="BQ123" s="57">
        <v>6736</v>
      </c>
      <c r="BR123" s="57">
        <v>11303</v>
      </c>
      <c r="BS123" s="57">
        <v>9285</v>
      </c>
      <c r="BT123" s="57">
        <v>13952</v>
      </c>
      <c r="BU123" s="57">
        <v>12071</v>
      </c>
      <c r="BV123" s="57">
        <v>9813</v>
      </c>
      <c r="BW123" s="57">
        <v>8691</v>
      </c>
      <c r="BX123" s="57">
        <v>13011</v>
      </c>
      <c r="BY123" s="57">
        <v>14082</v>
      </c>
      <c r="BZ123" s="57">
        <v>23206</v>
      </c>
      <c r="CA123" s="57">
        <v>23177</v>
      </c>
      <c r="CB123" s="57">
        <v>6046</v>
      </c>
      <c r="CC123" s="57">
        <v>10649</v>
      </c>
      <c r="CD123" s="57">
        <v>13091</v>
      </c>
      <c r="CE123" s="57">
        <v>13773</v>
      </c>
      <c r="CF123" s="57">
        <v>12489</v>
      </c>
      <c r="CG123" s="57">
        <v>8836</v>
      </c>
      <c r="CH123" s="57">
        <v>6654</v>
      </c>
      <c r="CI123" s="57">
        <v>4321</v>
      </c>
      <c r="CJ123" s="57">
        <v>7155</v>
      </c>
      <c r="CK123" s="57">
        <v>10161</v>
      </c>
      <c r="CL123" s="57">
        <v>12180</v>
      </c>
      <c r="CM123" s="57">
        <v>11055</v>
      </c>
      <c r="CN123" s="57">
        <v>11750</v>
      </c>
      <c r="CO123" s="57">
        <v>12523</v>
      </c>
      <c r="CP123" s="57">
        <v>13253</v>
      </c>
      <c r="CQ123" s="57">
        <v>15974</v>
      </c>
      <c r="CR123" s="57">
        <v>6004</v>
      </c>
      <c r="CS123" s="57">
        <v>6897</v>
      </c>
      <c r="CT123" s="57">
        <v>7861</v>
      </c>
      <c r="CU123" s="57">
        <v>6862</v>
      </c>
      <c r="CV123" s="57">
        <v>8221</v>
      </c>
      <c r="CW123" s="57">
        <v>11324</v>
      </c>
      <c r="CX123" s="57">
        <v>15274</v>
      </c>
      <c r="CY123" s="57">
        <v>15956</v>
      </c>
      <c r="CZ123" s="57">
        <v>9863</v>
      </c>
      <c r="DA123" s="57">
        <v>9608</v>
      </c>
      <c r="DB123" s="57">
        <v>10210</v>
      </c>
      <c r="DC123" s="57">
        <v>13128</v>
      </c>
    </row>
    <row r="124" spans="1:107" ht="12" customHeight="1" x14ac:dyDescent="0.25">
      <c r="A124" s="54" t="s">
        <v>23</v>
      </c>
      <c r="B124" s="57">
        <v>4371</v>
      </c>
      <c r="C124" s="57">
        <v>4401</v>
      </c>
      <c r="D124" s="57">
        <v>5729</v>
      </c>
      <c r="E124" s="57">
        <v>5765</v>
      </c>
      <c r="F124" s="57">
        <v>5709</v>
      </c>
      <c r="G124" s="57">
        <v>4232</v>
      </c>
      <c r="H124" s="57">
        <v>5095</v>
      </c>
      <c r="I124" s="57">
        <v>6599</v>
      </c>
      <c r="J124" s="57">
        <f>59347-53679</f>
        <v>5668</v>
      </c>
      <c r="K124" s="57">
        <v>6653</v>
      </c>
      <c r="L124" s="57">
        <v>5455</v>
      </c>
      <c r="M124" s="57">
        <v>5385</v>
      </c>
      <c r="N124" s="57">
        <v>6015</v>
      </c>
      <c r="O124" s="57">
        <v>5986</v>
      </c>
      <c r="P124" s="57">
        <v>6260</v>
      </c>
      <c r="Q124" s="57">
        <v>6891</v>
      </c>
      <c r="R124" s="57">
        <v>6656</v>
      </c>
      <c r="S124" s="57">
        <v>5249</v>
      </c>
      <c r="T124" s="57">
        <v>5367</v>
      </c>
      <c r="U124" s="57">
        <v>7282</v>
      </c>
      <c r="V124" s="57">
        <v>5484</v>
      </c>
      <c r="W124" s="57">
        <v>6219</v>
      </c>
      <c r="X124" s="57">
        <v>4572</v>
      </c>
      <c r="Y124" s="57">
        <v>5304</v>
      </c>
      <c r="Z124" s="57">
        <v>6718</v>
      </c>
      <c r="AA124" s="57">
        <v>6532</v>
      </c>
      <c r="AB124" s="57">
        <v>6596</v>
      </c>
      <c r="AC124" s="57">
        <v>7455</v>
      </c>
      <c r="AD124" s="57">
        <v>7080</v>
      </c>
      <c r="AE124" s="57">
        <v>6811</v>
      </c>
      <c r="AF124" s="57">
        <v>5940</v>
      </c>
      <c r="AG124" s="57">
        <v>6691</v>
      </c>
      <c r="AH124" s="57">
        <v>6953</v>
      </c>
      <c r="AI124" s="57">
        <v>7316</v>
      </c>
      <c r="AJ124" s="57">
        <v>5473</v>
      </c>
      <c r="AK124" s="57">
        <v>6728</v>
      </c>
      <c r="AL124" s="57">
        <v>7823</v>
      </c>
      <c r="AM124" s="57">
        <v>5472</v>
      </c>
      <c r="AN124" s="57">
        <v>8298</v>
      </c>
      <c r="AO124" s="57">
        <v>8354</v>
      </c>
      <c r="AP124" s="57">
        <v>8632</v>
      </c>
      <c r="AQ124" s="57">
        <v>6906</v>
      </c>
      <c r="AR124" s="57">
        <v>7126</v>
      </c>
      <c r="AS124" s="57">
        <v>7511</v>
      </c>
      <c r="AT124" s="57">
        <v>7830</v>
      </c>
      <c r="AU124" s="57">
        <v>8010</v>
      </c>
      <c r="AV124" s="57">
        <v>5410</v>
      </c>
      <c r="AW124" s="57">
        <v>8366</v>
      </c>
      <c r="AX124" s="57">
        <v>9038</v>
      </c>
      <c r="AY124" s="57">
        <v>7272</v>
      </c>
      <c r="AZ124" s="57">
        <v>9217</v>
      </c>
      <c r="BA124" s="57">
        <v>9568</v>
      </c>
      <c r="BB124" s="57">
        <v>8022</v>
      </c>
      <c r="BC124" s="57">
        <v>7265</v>
      </c>
      <c r="BD124" s="57">
        <v>7177</v>
      </c>
      <c r="BE124" s="57">
        <v>8446</v>
      </c>
      <c r="BF124" s="57">
        <v>8275</v>
      </c>
      <c r="BG124" s="57">
        <v>8029</v>
      </c>
      <c r="BH124" s="57">
        <v>8050</v>
      </c>
      <c r="BI124" s="57">
        <v>7743</v>
      </c>
      <c r="BJ124" s="57">
        <v>8550</v>
      </c>
      <c r="BK124" s="57">
        <v>8407</v>
      </c>
      <c r="BL124" s="57">
        <v>9674</v>
      </c>
      <c r="BM124" s="57">
        <v>9467</v>
      </c>
      <c r="BN124" s="57">
        <v>8716</v>
      </c>
      <c r="BO124" s="57">
        <v>10595</v>
      </c>
      <c r="BP124" s="57">
        <v>4519</v>
      </c>
      <c r="BQ124" s="57">
        <v>8071</v>
      </c>
      <c r="BR124" s="57">
        <v>8323</v>
      </c>
      <c r="BS124" s="57">
        <v>5965</v>
      </c>
      <c r="BT124" s="57">
        <v>7230</v>
      </c>
      <c r="BU124" s="57">
        <v>7445</v>
      </c>
      <c r="BV124" s="57">
        <v>9222</v>
      </c>
      <c r="BW124" s="57">
        <v>8894</v>
      </c>
      <c r="BX124" s="57">
        <v>9888</v>
      </c>
      <c r="BY124" s="57">
        <v>9396</v>
      </c>
      <c r="BZ124" s="57">
        <v>9443</v>
      </c>
      <c r="CA124" s="57">
        <v>10051</v>
      </c>
      <c r="CB124" s="57">
        <v>4849</v>
      </c>
      <c r="CC124" s="57">
        <v>9436</v>
      </c>
      <c r="CD124" s="57">
        <v>8000</v>
      </c>
      <c r="CE124" s="57">
        <v>7714</v>
      </c>
      <c r="CF124" s="57">
        <v>6733</v>
      </c>
      <c r="CG124" s="57">
        <v>7220</v>
      </c>
      <c r="CH124" s="57">
        <v>5013</v>
      </c>
      <c r="CI124" s="57">
        <v>3424</v>
      </c>
      <c r="CJ124" s="57">
        <v>4123</v>
      </c>
      <c r="CK124" s="57">
        <v>7502</v>
      </c>
      <c r="CL124" s="57">
        <v>8262</v>
      </c>
      <c r="CM124" s="57">
        <v>6980</v>
      </c>
      <c r="CN124" s="57">
        <v>6350</v>
      </c>
      <c r="CO124" s="57">
        <v>6694</v>
      </c>
      <c r="CP124" s="57">
        <v>6921</v>
      </c>
      <c r="CQ124" s="57">
        <v>7083</v>
      </c>
      <c r="CR124" s="57">
        <v>3325</v>
      </c>
      <c r="CS124" s="57">
        <v>5535</v>
      </c>
      <c r="CT124" s="57">
        <v>6542</v>
      </c>
      <c r="CU124" s="57">
        <v>6787</v>
      </c>
      <c r="CV124" s="57">
        <v>8037</v>
      </c>
      <c r="CW124" s="57">
        <v>8223</v>
      </c>
      <c r="CX124" s="57">
        <v>7695</v>
      </c>
      <c r="CY124" s="57">
        <v>6778</v>
      </c>
      <c r="CZ124" s="57">
        <v>5797</v>
      </c>
      <c r="DA124" s="57">
        <v>5767</v>
      </c>
      <c r="DB124" s="57">
        <v>5704</v>
      </c>
      <c r="DC124" s="57">
        <v>5510</v>
      </c>
    </row>
    <row r="125" spans="1:107" ht="12" customHeight="1" x14ac:dyDescent="0.25">
      <c r="A125" s="54" t="s">
        <v>24</v>
      </c>
      <c r="B125" s="57">
        <v>4383</v>
      </c>
      <c r="C125" s="57">
        <v>3807</v>
      </c>
      <c r="D125" s="57">
        <v>4578</v>
      </c>
      <c r="E125" s="57">
        <v>4702</v>
      </c>
      <c r="F125" s="57">
        <v>4229</v>
      </c>
      <c r="G125" s="57">
        <v>3373</v>
      </c>
      <c r="H125" s="57">
        <v>3990</v>
      </c>
      <c r="I125" s="57">
        <v>4532</v>
      </c>
      <c r="J125" s="57">
        <v>3926</v>
      </c>
      <c r="K125" s="57">
        <v>2599</v>
      </c>
      <c r="L125" s="57">
        <v>4646</v>
      </c>
      <c r="M125" s="57">
        <v>4047</v>
      </c>
      <c r="N125" s="57">
        <v>5106</v>
      </c>
      <c r="O125" s="57">
        <v>4876</v>
      </c>
      <c r="P125" s="57">
        <v>4737</v>
      </c>
      <c r="Q125" s="57">
        <v>4826</v>
      </c>
      <c r="R125" s="57">
        <v>4601</v>
      </c>
      <c r="S125" s="57">
        <v>3304</v>
      </c>
      <c r="T125" s="57">
        <v>4426</v>
      </c>
      <c r="U125" s="57">
        <v>5134</v>
      </c>
      <c r="V125" s="57">
        <v>4220</v>
      </c>
      <c r="W125" s="57">
        <v>3373</v>
      </c>
      <c r="X125" s="57">
        <v>5685</v>
      </c>
      <c r="Y125" s="57">
        <v>4004</v>
      </c>
      <c r="Z125" s="57">
        <v>5958</v>
      </c>
      <c r="AA125" s="57">
        <v>5348</v>
      </c>
      <c r="AB125" s="57">
        <v>5388</v>
      </c>
      <c r="AC125" s="57">
        <v>5446</v>
      </c>
      <c r="AD125" s="57">
        <v>5100</v>
      </c>
      <c r="AE125" s="57">
        <v>3993</v>
      </c>
      <c r="AF125" s="57">
        <v>4546</v>
      </c>
      <c r="AG125" s="57">
        <v>5454</v>
      </c>
      <c r="AH125" s="57">
        <v>5095</v>
      </c>
      <c r="AI125" s="57">
        <v>3433</v>
      </c>
      <c r="AJ125" s="57">
        <v>5823</v>
      </c>
      <c r="AK125" s="57">
        <v>4762</v>
      </c>
      <c r="AL125" s="57">
        <v>6106</v>
      </c>
      <c r="AM125" s="57">
        <v>6174</v>
      </c>
      <c r="AN125" s="57">
        <v>6325</v>
      </c>
      <c r="AO125" s="57">
        <v>6492</v>
      </c>
      <c r="AP125" s="57">
        <v>5062</v>
      </c>
      <c r="AQ125" s="57">
        <v>3942</v>
      </c>
      <c r="AR125" s="57">
        <v>4334</v>
      </c>
      <c r="AS125" s="57">
        <v>5324</v>
      </c>
      <c r="AT125" s="57">
        <v>5348</v>
      </c>
      <c r="AU125" s="57">
        <v>3982</v>
      </c>
      <c r="AV125" s="57">
        <v>6485</v>
      </c>
      <c r="AW125" s="57">
        <v>5667</v>
      </c>
      <c r="AX125" s="57">
        <v>6593</v>
      </c>
      <c r="AY125" s="57">
        <v>6054</v>
      </c>
      <c r="AZ125" s="57">
        <v>6804</v>
      </c>
      <c r="BA125" s="57">
        <v>7429</v>
      </c>
      <c r="BB125" s="57">
        <v>5480</v>
      </c>
      <c r="BC125" s="57">
        <v>4322</v>
      </c>
      <c r="BD125" s="57">
        <v>5281</v>
      </c>
      <c r="BE125" s="57">
        <v>6446</v>
      </c>
      <c r="BF125" s="57">
        <v>6292</v>
      </c>
      <c r="BG125" s="57">
        <v>4039</v>
      </c>
      <c r="BH125" s="57">
        <v>6859</v>
      </c>
      <c r="BI125" s="57">
        <v>5659</v>
      </c>
      <c r="BJ125" s="57">
        <v>7855</v>
      </c>
      <c r="BK125" s="57">
        <v>6639</v>
      </c>
      <c r="BL125" s="57">
        <v>7301</v>
      </c>
      <c r="BM125" s="57">
        <v>7378</v>
      </c>
      <c r="BN125" s="57">
        <v>6246</v>
      </c>
      <c r="BO125" s="57">
        <v>5636</v>
      </c>
      <c r="BP125" s="57">
        <v>4893</v>
      </c>
      <c r="BQ125" s="57">
        <v>5548</v>
      </c>
      <c r="BR125" s="57">
        <v>5192</v>
      </c>
      <c r="BS125" s="57">
        <v>3643</v>
      </c>
      <c r="BT125" s="57">
        <v>6563</v>
      </c>
      <c r="BU125" s="57">
        <v>6021</v>
      </c>
      <c r="BV125" s="57">
        <v>7108</v>
      </c>
      <c r="BW125" s="57">
        <v>6164</v>
      </c>
      <c r="BX125" s="57">
        <v>7197</v>
      </c>
      <c r="BY125" s="57">
        <v>6794</v>
      </c>
      <c r="BZ125" s="57">
        <v>5783</v>
      </c>
      <c r="CA125" s="57">
        <v>4870</v>
      </c>
      <c r="CB125" s="57">
        <v>5213</v>
      </c>
      <c r="CC125" s="57">
        <v>5855</v>
      </c>
      <c r="CD125" s="57">
        <v>5160</v>
      </c>
      <c r="CE125" s="57">
        <v>6483</v>
      </c>
      <c r="CF125" s="57">
        <v>6024</v>
      </c>
      <c r="CG125" s="57">
        <v>5741</v>
      </c>
      <c r="CH125" s="57">
        <v>2743</v>
      </c>
      <c r="CI125" s="57">
        <v>1846</v>
      </c>
      <c r="CJ125" s="57">
        <v>5086</v>
      </c>
      <c r="CK125" s="57">
        <v>6565</v>
      </c>
      <c r="CL125" s="57">
        <v>6429</v>
      </c>
      <c r="CM125" s="57">
        <v>4357</v>
      </c>
      <c r="CN125" s="57">
        <v>4441</v>
      </c>
      <c r="CO125" s="57">
        <v>4549</v>
      </c>
      <c r="CP125" s="57">
        <v>3565</v>
      </c>
      <c r="CQ125" s="57">
        <v>2348</v>
      </c>
      <c r="CR125" s="57">
        <v>4391</v>
      </c>
      <c r="CS125" s="57">
        <v>4833</v>
      </c>
      <c r="CT125" s="57">
        <v>7067</v>
      </c>
      <c r="CU125" s="57">
        <v>4281</v>
      </c>
      <c r="CV125" s="57">
        <v>5261</v>
      </c>
      <c r="CW125" s="57">
        <v>5176</v>
      </c>
      <c r="CX125" s="57">
        <v>4426</v>
      </c>
      <c r="CY125" s="57">
        <v>3536</v>
      </c>
      <c r="CZ125" s="57">
        <v>4120</v>
      </c>
      <c r="DA125" s="57">
        <v>4221</v>
      </c>
      <c r="DB125" s="57">
        <v>4126</v>
      </c>
      <c r="DC125" s="57">
        <v>2550</v>
      </c>
    </row>
    <row r="126" spans="1:107" ht="12" customHeight="1" x14ac:dyDescent="0.25">
      <c r="A126" s="54" t="s">
        <v>1</v>
      </c>
      <c r="B126" s="57">
        <v>25835</v>
      </c>
      <c r="C126" s="57">
        <v>37373</v>
      </c>
      <c r="D126" s="57">
        <v>52210</v>
      </c>
      <c r="E126" s="57">
        <v>55756</v>
      </c>
      <c r="F126" s="57">
        <v>55712</v>
      </c>
      <c r="G126" s="57">
        <v>42915</v>
      </c>
      <c r="H126" s="57">
        <v>52925</v>
      </c>
      <c r="I126" s="57">
        <v>46985</v>
      </c>
      <c r="J126" s="57">
        <v>64117</v>
      </c>
      <c r="K126" s="57">
        <v>101199</v>
      </c>
      <c r="L126" s="57">
        <v>24368</v>
      </c>
      <c r="M126" s="57">
        <v>27167</v>
      </c>
      <c r="N126" s="57">
        <v>37812</v>
      </c>
      <c r="O126" s="57">
        <v>42769</v>
      </c>
      <c r="P126" s="57">
        <v>46379</v>
      </c>
      <c r="Q126" s="57">
        <f>225773-178495</f>
        <v>47278</v>
      </c>
      <c r="R126" s="57">
        <v>46602</v>
      </c>
      <c r="S126" s="57">
        <v>45131</v>
      </c>
      <c r="T126" s="57">
        <v>49262</v>
      </c>
      <c r="U126" s="57">
        <v>50814</v>
      </c>
      <c r="V126" s="57">
        <v>59695</v>
      </c>
      <c r="W126" s="57">
        <v>110054</v>
      </c>
      <c r="X126" s="57">
        <v>24498</v>
      </c>
      <c r="Y126" s="57">
        <v>40817</v>
      </c>
      <c r="Z126" s="57">
        <v>61676</v>
      </c>
      <c r="AA126" s="57">
        <v>70211</v>
      </c>
      <c r="AB126" s="57">
        <v>62878</v>
      </c>
      <c r="AC126" s="57">
        <v>67766</v>
      </c>
      <c r="AD126" s="57">
        <v>64218</v>
      </c>
      <c r="AE126" s="57">
        <v>61753</v>
      </c>
      <c r="AF126" s="57">
        <v>47088</v>
      </c>
      <c r="AG126" s="57">
        <v>47954</v>
      </c>
      <c r="AH126" s="57">
        <v>62397</v>
      </c>
      <c r="AI126" s="57">
        <v>114340</v>
      </c>
      <c r="AJ126" s="57">
        <v>23358</v>
      </c>
      <c r="AK126" s="57">
        <v>40588</v>
      </c>
      <c r="AL126" s="57">
        <v>63975</v>
      </c>
      <c r="AM126" s="57">
        <v>65618</v>
      </c>
      <c r="AN126" s="57">
        <v>73832</v>
      </c>
      <c r="AO126" s="57">
        <v>71111</v>
      </c>
      <c r="AP126" s="57">
        <v>45566</v>
      </c>
      <c r="AQ126" s="57">
        <v>53977</v>
      </c>
      <c r="AR126" s="57">
        <v>51340</v>
      </c>
      <c r="AS126" s="57">
        <v>63746</v>
      </c>
      <c r="AT126" s="57">
        <v>95783</v>
      </c>
      <c r="AU126" s="57">
        <v>108044</v>
      </c>
      <c r="AV126" s="57">
        <v>25689</v>
      </c>
      <c r="AW126" s="57">
        <v>34658</v>
      </c>
      <c r="AX126" s="57">
        <v>55616</v>
      </c>
      <c r="AY126" s="57">
        <v>57998</v>
      </c>
      <c r="AZ126" s="57">
        <v>65799</v>
      </c>
      <c r="BA126" s="57">
        <v>66164</v>
      </c>
      <c r="BB126" s="57">
        <v>62384</v>
      </c>
      <c r="BC126" s="57">
        <v>54890</v>
      </c>
      <c r="BD126" s="57">
        <v>53423</v>
      </c>
      <c r="BE126" s="57">
        <v>70488</v>
      </c>
      <c r="BF126" s="57">
        <v>75956</v>
      </c>
      <c r="BG126" s="57">
        <v>99694</v>
      </c>
      <c r="BH126" s="57">
        <v>26611</v>
      </c>
      <c r="BI126" s="57">
        <v>35901</v>
      </c>
      <c r="BJ126" s="57">
        <v>59798</v>
      </c>
      <c r="BK126" s="57">
        <v>55108</v>
      </c>
      <c r="BL126" s="57">
        <v>57227</v>
      </c>
      <c r="BM126" s="57">
        <v>41225</v>
      </c>
      <c r="BN126" s="57">
        <v>42024</v>
      </c>
      <c r="BO126" s="57">
        <v>26976</v>
      </c>
      <c r="BP126" s="57">
        <v>17595</v>
      </c>
      <c r="BQ126" s="57">
        <v>16809</v>
      </c>
      <c r="BR126" s="57">
        <v>46204</v>
      </c>
      <c r="BS126" s="57">
        <v>60843</v>
      </c>
      <c r="BT126" s="57">
        <v>10979</v>
      </c>
      <c r="BU126" s="57">
        <v>19205</v>
      </c>
      <c r="BV126" s="57">
        <v>38628</v>
      </c>
      <c r="BW126" s="57">
        <v>24416</v>
      </c>
      <c r="BX126" s="57">
        <v>27126</v>
      </c>
      <c r="BY126" s="57">
        <v>36024</v>
      </c>
      <c r="BZ126" s="57">
        <v>15398</v>
      </c>
      <c r="CA126" s="57">
        <v>21544</v>
      </c>
      <c r="CB126" s="57">
        <v>35308</v>
      </c>
      <c r="CC126" s="57">
        <v>39996</v>
      </c>
      <c r="CD126" s="57">
        <v>47803</v>
      </c>
      <c r="CE126" s="57">
        <v>70829</v>
      </c>
      <c r="CF126" s="57">
        <v>22016</v>
      </c>
      <c r="CG126" s="57">
        <v>37727</v>
      </c>
      <c r="CH126" s="57">
        <v>39887</v>
      </c>
      <c r="CI126" s="57">
        <v>21825</v>
      </c>
      <c r="CJ126" s="57">
        <v>25073</v>
      </c>
      <c r="CK126" s="57">
        <v>57067</v>
      </c>
      <c r="CL126" s="57">
        <v>69427</v>
      </c>
      <c r="CM126" s="57">
        <v>44372</v>
      </c>
      <c r="CN126" s="57">
        <v>71296</v>
      </c>
      <c r="CO126" s="57">
        <v>76341</v>
      </c>
      <c r="CP126" s="57">
        <v>64357</v>
      </c>
      <c r="CQ126" s="57">
        <v>80721</v>
      </c>
      <c r="CR126" s="57">
        <v>35358</v>
      </c>
      <c r="CS126" s="57">
        <v>44749</v>
      </c>
      <c r="CT126" s="57">
        <v>76357</v>
      </c>
      <c r="CU126" s="57">
        <v>48375</v>
      </c>
      <c r="CV126" s="57">
        <v>43138</v>
      </c>
      <c r="CW126" s="57">
        <v>62348</v>
      </c>
      <c r="CX126" s="57">
        <v>36311</v>
      </c>
      <c r="CY126" s="57">
        <v>44756</v>
      </c>
      <c r="CZ126" s="57">
        <v>43408</v>
      </c>
      <c r="DA126" s="57">
        <v>40512</v>
      </c>
      <c r="DB126" s="57">
        <v>42982</v>
      </c>
      <c r="DC126" s="57">
        <v>43559</v>
      </c>
    </row>
    <row r="127" spans="1:107" ht="12" customHeight="1" x14ac:dyDescent="0.25">
      <c r="A127" s="54" t="s">
        <v>2</v>
      </c>
      <c r="B127" s="57">
        <v>162077</v>
      </c>
      <c r="C127" s="57">
        <v>210666</v>
      </c>
      <c r="D127" s="57">
        <v>244027</v>
      </c>
      <c r="E127" s="57">
        <v>245528</v>
      </c>
      <c r="F127" s="57">
        <v>234569</v>
      </c>
      <c r="G127" s="57">
        <v>231922</v>
      </c>
      <c r="H127" s="57">
        <v>246895</v>
      </c>
      <c r="I127" s="57">
        <f>2281181-2046700</f>
        <v>234481</v>
      </c>
      <c r="J127" s="57">
        <v>231982</v>
      </c>
      <c r="K127" s="57">
        <v>264284</v>
      </c>
      <c r="L127" s="57">
        <v>152662</v>
      </c>
      <c r="M127" s="57">
        <v>206476</v>
      </c>
      <c r="N127" s="57">
        <v>243385</v>
      </c>
      <c r="O127" s="57">
        <v>226523</v>
      </c>
      <c r="P127" s="57">
        <v>201487</v>
      </c>
      <c r="Q127" s="57">
        <v>199306</v>
      </c>
      <c r="R127" s="57">
        <v>180812</v>
      </c>
      <c r="S127" s="57">
        <v>172062</v>
      </c>
      <c r="T127" s="57">
        <v>197234</v>
      </c>
      <c r="U127" s="57">
        <v>211365</v>
      </c>
      <c r="V127" s="57">
        <v>229439</v>
      </c>
      <c r="W127" s="57">
        <v>270653</v>
      </c>
      <c r="X127" s="57">
        <v>115390</v>
      </c>
      <c r="Y127" s="57">
        <v>128436</v>
      </c>
      <c r="Z127" s="57">
        <v>139865</v>
      </c>
      <c r="AA127" s="57">
        <v>132456</v>
      </c>
      <c r="AB127" s="57">
        <v>125801</v>
      </c>
      <c r="AC127" s="57">
        <v>140008</v>
      </c>
      <c r="AD127" s="57">
        <v>131225</v>
      </c>
      <c r="AE127" s="57">
        <v>138670</v>
      </c>
      <c r="AF127" s="57">
        <v>140872</v>
      </c>
      <c r="AG127" s="57">
        <v>129958</v>
      </c>
      <c r="AH127" s="57">
        <v>131572</v>
      </c>
      <c r="AI127" s="57">
        <v>146963</v>
      </c>
      <c r="AJ127" s="57">
        <v>81849</v>
      </c>
      <c r="AK127" s="57">
        <v>111223</v>
      </c>
      <c r="AL127" s="57">
        <v>126020</v>
      </c>
      <c r="AM127" s="57">
        <v>121491</v>
      </c>
      <c r="AN127" s="57">
        <v>107536</v>
      </c>
      <c r="AO127" s="57">
        <v>124021</v>
      </c>
      <c r="AP127" s="57">
        <v>109465</v>
      </c>
      <c r="AQ127" s="57">
        <v>113752</v>
      </c>
      <c r="AR127" s="57">
        <v>125575</v>
      </c>
      <c r="AS127" s="57">
        <v>126738</v>
      </c>
      <c r="AT127" s="57">
        <v>132317</v>
      </c>
      <c r="AU127" s="57">
        <v>145804</v>
      </c>
      <c r="AV127" s="57">
        <v>77916</v>
      </c>
      <c r="AW127" s="57">
        <v>106658</v>
      </c>
      <c r="AX127" s="57">
        <v>137890</v>
      </c>
      <c r="AY127" s="57">
        <v>129481</v>
      </c>
      <c r="AZ127" s="57">
        <v>125504</v>
      </c>
      <c r="BA127" s="57">
        <v>141080</v>
      </c>
      <c r="BB127" s="57">
        <v>129685</v>
      </c>
      <c r="BC127" s="57">
        <v>132707</v>
      </c>
      <c r="BD127" s="57">
        <v>148453</v>
      </c>
      <c r="BE127" s="57">
        <v>148564</v>
      </c>
      <c r="BF127" s="57">
        <v>152259</v>
      </c>
      <c r="BG127" s="57">
        <v>165540</v>
      </c>
      <c r="BH127" s="57">
        <v>102464</v>
      </c>
      <c r="BI127" s="57">
        <v>133177</v>
      </c>
      <c r="BJ127" s="57">
        <v>157279</v>
      </c>
      <c r="BK127" s="57">
        <v>152425</v>
      </c>
      <c r="BL127" s="57">
        <v>147525</v>
      </c>
      <c r="BM127" s="57">
        <v>156351</v>
      </c>
      <c r="BN127" s="57">
        <v>143452</v>
      </c>
      <c r="BO127" s="57">
        <v>147388</v>
      </c>
      <c r="BP127" s="57">
        <v>157371</v>
      </c>
      <c r="BQ127" s="57">
        <v>160425</v>
      </c>
      <c r="BR127" s="57">
        <v>167494</v>
      </c>
      <c r="BS127" s="57">
        <v>175240</v>
      </c>
      <c r="BT127" s="57">
        <v>103064</v>
      </c>
      <c r="BU127" s="57">
        <v>128406</v>
      </c>
      <c r="BV127" s="57">
        <v>160180</v>
      </c>
      <c r="BW127" s="57">
        <v>148296</v>
      </c>
      <c r="BX127" s="57">
        <v>137624</v>
      </c>
      <c r="BY127" s="57">
        <v>151180</v>
      </c>
      <c r="BZ127" s="57">
        <v>139968</v>
      </c>
      <c r="CA127" s="57">
        <v>145545</v>
      </c>
      <c r="CB127" s="57">
        <v>157129</v>
      </c>
      <c r="CC127" s="57">
        <v>152057</v>
      </c>
      <c r="CD127" s="57">
        <v>156848</v>
      </c>
      <c r="CE127" s="57">
        <v>179235</v>
      </c>
      <c r="CF127" s="57">
        <v>102102</v>
      </c>
      <c r="CG127" s="57">
        <v>119073</v>
      </c>
      <c r="CH127" s="57">
        <v>162321</v>
      </c>
      <c r="CI127" s="57">
        <v>78168</v>
      </c>
      <c r="CJ127" s="57">
        <v>102279</v>
      </c>
      <c r="CK127" s="57">
        <v>122622</v>
      </c>
      <c r="CL127" s="57">
        <v>141924</v>
      </c>
      <c r="CM127" s="57">
        <v>137517</v>
      </c>
      <c r="CN127" s="57">
        <v>154409</v>
      </c>
      <c r="CO127" s="57">
        <v>154164</v>
      </c>
      <c r="CP127" s="57">
        <v>157580</v>
      </c>
      <c r="CQ127" s="57">
        <v>166666</v>
      </c>
      <c r="CR127" s="57">
        <v>95213</v>
      </c>
      <c r="CS127" s="57">
        <v>120081</v>
      </c>
      <c r="CT127" s="57">
        <v>172028</v>
      </c>
      <c r="CU127" s="57">
        <v>159748</v>
      </c>
      <c r="CV127" s="57">
        <v>155160</v>
      </c>
      <c r="CW127" s="57">
        <v>168519</v>
      </c>
      <c r="CX127" s="57">
        <v>140911</v>
      </c>
      <c r="CY127" s="57">
        <v>105859</v>
      </c>
      <c r="CZ127" s="57">
        <v>142592</v>
      </c>
      <c r="DA127" s="57">
        <v>132818</v>
      </c>
      <c r="DB127" s="57">
        <v>133380</v>
      </c>
      <c r="DC127" s="57">
        <v>140471</v>
      </c>
    </row>
    <row r="128" spans="1:107" ht="12" customHeight="1" x14ac:dyDescent="0.25">
      <c r="A128" s="54" t="s">
        <v>3</v>
      </c>
      <c r="B128" s="57">
        <v>10522</v>
      </c>
      <c r="C128" s="57">
        <v>11973</v>
      </c>
      <c r="D128" s="57">
        <v>25650</v>
      </c>
      <c r="E128" s="57">
        <v>26115</v>
      </c>
      <c r="F128" s="57">
        <v>17984</v>
      </c>
      <c r="G128" s="57">
        <v>22195</v>
      </c>
      <c r="H128" s="57">
        <v>20333</v>
      </c>
      <c r="I128" s="57">
        <v>16081</v>
      </c>
      <c r="J128" s="57">
        <v>15444</v>
      </c>
      <c r="K128" s="57">
        <v>24832</v>
      </c>
      <c r="L128" s="57">
        <v>11874</v>
      </c>
      <c r="M128" s="57">
        <v>15204</v>
      </c>
      <c r="N128" s="57">
        <v>10938</v>
      </c>
      <c r="O128" s="57">
        <v>7765</v>
      </c>
      <c r="P128" s="57">
        <v>5686</v>
      </c>
      <c r="Q128" s="57">
        <v>6221</v>
      </c>
      <c r="R128" s="57">
        <v>6818</v>
      </c>
      <c r="S128" s="57">
        <v>6402</v>
      </c>
      <c r="T128" s="57">
        <v>5788</v>
      </c>
      <c r="U128" s="57">
        <v>5913</v>
      </c>
      <c r="V128" s="57">
        <v>6701</v>
      </c>
      <c r="W128" s="57">
        <v>7710</v>
      </c>
      <c r="X128" s="57">
        <v>2597</v>
      </c>
      <c r="Y128" s="57">
        <v>2924</v>
      </c>
      <c r="Z128" s="57">
        <v>2259</v>
      </c>
      <c r="AA128" s="57">
        <v>3057</v>
      </c>
      <c r="AB128" s="57">
        <v>2994</v>
      </c>
      <c r="AC128" s="57">
        <v>3372</v>
      </c>
      <c r="AD128" s="57">
        <v>5344</v>
      </c>
      <c r="AE128" s="57">
        <v>3464</v>
      </c>
      <c r="AF128" s="57">
        <v>4376</v>
      </c>
      <c r="AG128" s="57">
        <f>4500+1096</f>
        <v>5596</v>
      </c>
      <c r="AH128" s="57">
        <v>5144</v>
      </c>
      <c r="AI128" s="57">
        <v>5419</v>
      </c>
      <c r="AJ128" s="57">
        <v>3183</v>
      </c>
      <c r="AK128" s="57">
        <v>4201</v>
      </c>
      <c r="AL128" s="57">
        <v>4902</v>
      </c>
      <c r="AM128" s="57">
        <v>5697</v>
      </c>
      <c r="AN128" s="57">
        <v>6214</v>
      </c>
      <c r="AO128" s="57">
        <v>4781</v>
      </c>
      <c r="AP128" s="57">
        <v>5548</v>
      </c>
      <c r="AQ128" s="57">
        <v>5630</v>
      </c>
      <c r="AR128" s="57">
        <v>4004</v>
      </c>
      <c r="AS128" s="57">
        <v>6073</v>
      </c>
      <c r="AT128" s="57">
        <v>7728</v>
      </c>
      <c r="AU128" s="57">
        <v>7601</v>
      </c>
      <c r="AV128" s="57">
        <v>4822</v>
      </c>
      <c r="AW128" s="57">
        <v>4856</v>
      </c>
      <c r="AX128" s="57">
        <v>7278</v>
      </c>
      <c r="AY128" s="57">
        <v>6445</v>
      </c>
      <c r="AZ128" s="57">
        <v>6592</v>
      </c>
      <c r="BA128" s="57">
        <v>6884</v>
      </c>
      <c r="BB128" s="57">
        <v>6425</v>
      </c>
      <c r="BC128" s="57">
        <v>6598</v>
      </c>
      <c r="BD128" s="57">
        <v>7840</v>
      </c>
      <c r="BE128" s="57">
        <v>7652</v>
      </c>
      <c r="BF128" s="57">
        <v>7677</v>
      </c>
      <c r="BG128" s="57">
        <v>9179</v>
      </c>
      <c r="BH128" s="57">
        <v>6624</v>
      </c>
      <c r="BI128" s="57">
        <v>5867</v>
      </c>
      <c r="BJ128" s="57">
        <v>6283</v>
      </c>
      <c r="BK128" s="57">
        <v>6844</v>
      </c>
      <c r="BL128" s="57">
        <v>6838</v>
      </c>
      <c r="BM128" s="57">
        <v>6513</v>
      </c>
      <c r="BN128" s="57">
        <v>6685</v>
      </c>
      <c r="BO128" s="57">
        <v>7338</v>
      </c>
      <c r="BP128" s="57">
        <v>6776</v>
      </c>
      <c r="BQ128" s="57">
        <v>7214</v>
      </c>
      <c r="BR128" s="57">
        <v>7337</v>
      </c>
      <c r="BS128" s="57">
        <v>7035</v>
      </c>
      <c r="BT128" s="57">
        <v>5258</v>
      </c>
      <c r="BU128" s="57">
        <v>5758</v>
      </c>
      <c r="BV128" s="57">
        <v>7327</v>
      </c>
      <c r="BW128" s="57">
        <v>6903</v>
      </c>
      <c r="BX128" s="57">
        <v>6947</v>
      </c>
      <c r="BY128" s="57">
        <v>6500</v>
      </c>
      <c r="BZ128" s="57">
        <v>7617</v>
      </c>
      <c r="CA128" s="57">
        <v>8256</v>
      </c>
      <c r="CB128" s="57">
        <v>7157</v>
      </c>
      <c r="CC128" s="57">
        <v>8971</v>
      </c>
      <c r="CD128" s="57">
        <v>8565</v>
      </c>
      <c r="CE128" s="57">
        <v>9178</v>
      </c>
      <c r="CF128" s="57">
        <v>7072</v>
      </c>
      <c r="CG128" s="57">
        <v>6963</v>
      </c>
      <c r="CH128" s="57">
        <v>6244</v>
      </c>
      <c r="CI128" s="57">
        <v>3664</v>
      </c>
      <c r="CJ128" s="57">
        <v>5895</v>
      </c>
      <c r="CK128" s="57">
        <v>7306</v>
      </c>
      <c r="CL128" s="57">
        <v>8392</v>
      </c>
      <c r="CM128" s="57">
        <v>6970</v>
      </c>
      <c r="CN128" s="57">
        <v>7589</v>
      </c>
      <c r="CO128" s="57">
        <v>8437</v>
      </c>
      <c r="CP128" s="57">
        <v>7117</v>
      </c>
      <c r="CQ128" s="57">
        <v>9801</v>
      </c>
      <c r="CR128" s="57">
        <v>5736</v>
      </c>
      <c r="CS128" s="57">
        <v>6336</v>
      </c>
      <c r="CT128" s="57">
        <v>9041</v>
      </c>
      <c r="CU128" s="57">
        <v>10022</v>
      </c>
      <c r="CV128" s="57">
        <v>8446</v>
      </c>
      <c r="CW128" s="57">
        <v>8816</v>
      </c>
      <c r="CX128" s="57">
        <v>9768</v>
      </c>
      <c r="CY128" s="57">
        <v>8513</v>
      </c>
      <c r="CZ128" s="57">
        <v>9438</v>
      </c>
      <c r="DA128" s="57">
        <v>7965</v>
      </c>
      <c r="DB128" s="57">
        <v>8678</v>
      </c>
      <c r="DC128" s="57">
        <v>10503</v>
      </c>
    </row>
    <row r="129" spans="1:107" ht="12" customHeight="1" x14ac:dyDescent="0.25">
      <c r="A129" s="54" t="s">
        <v>4</v>
      </c>
      <c r="B129" s="57">
        <v>332066</v>
      </c>
      <c r="C129" s="57">
        <v>412890</v>
      </c>
      <c r="D129" s="57">
        <v>570691</v>
      </c>
      <c r="E129" s="57">
        <v>308556</v>
      </c>
      <c r="F129" s="57">
        <v>401933</v>
      </c>
      <c r="G129" s="57">
        <v>310691</v>
      </c>
      <c r="H129" s="57">
        <v>446006</v>
      </c>
      <c r="I129" s="57">
        <f>3824475-3469978</f>
        <v>354497</v>
      </c>
      <c r="J129" s="57">
        <v>378597</v>
      </c>
      <c r="K129" s="57">
        <v>359210</v>
      </c>
      <c r="L129" s="57">
        <v>433616</v>
      </c>
      <c r="M129" s="57">
        <v>490511</v>
      </c>
      <c r="N129" s="57">
        <v>665990</v>
      </c>
      <c r="O129" s="57">
        <v>292826</v>
      </c>
      <c r="P129" s="57">
        <v>304371</v>
      </c>
      <c r="Q129" s="57">
        <v>379242</v>
      </c>
      <c r="R129" s="57">
        <v>391375</v>
      </c>
      <c r="S129" s="57">
        <v>281326</v>
      </c>
      <c r="T129" s="57">
        <v>431823</v>
      </c>
      <c r="U129" s="57">
        <v>328331</v>
      </c>
      <c r="V129" s="57">
        <v>339831</v>
      </c>
      <c r="W129" s="57">
        <v>360346</v>
      </c>
      <c r="X129" s="57">
        <v>344040</v>
      </c>
      <c r="Y129" s="57">
        <v>413192</v>
      </c>
      <c r="Z129" s="57">
        <v>586796</v>
      </c>
      <c r="AA129" s="57">
        <v>263376</v>
      </c>
      <c r="AB129" s="57">
        <v>279419</v>
      </c>
      <c r="AC129" s="57">
        <v>364931</v>
      </c>
      <c r="AD129" s="57">
        <v>355892</v>
      </c>
      <c r="AE129" s="57">
        <v>271386</v>
      </c>
      <c r="AF129" s="57">
        <v>399760</v>
      </c>
      <c r="AG129" s="57">
        <v>315192</v>
      </c>
      <c r="AH129" s="57">
        <v>314053</v>
      </c>
      <c r="AI129" s="57">
        <v>307852</v>
      </c>
      <c r="AJ129" s="57">
        <v>328994</v>
      </c>
      <c r="AK129" s="57">
        <v>382116</v>
      </c>
      <c r="AL129" s="57">
        <v>532468</v>
      </c>
      <c r="AM129" s="57">
        <v>269251</v>
      </c>
      <c r="AN129" s="57">
        <v>275505</v>
      </c>
      <c r="AO129" s="57">
        <v>344324</v>
      </c>
      <c r="AP129" s="57">
        <v>348163</v>
      </c>
      <c r="AQ129" s="57">
        <v>279374</v>
      </c>
      <c r="AR129" s="57">
        <v>396905</v>
      </c>
      <c r="AS129" s="57">
        <v>314706</v>
      </c>
      <c r="AT129" s="57">
        <v>341833</v>
      </c>
      <c r="AU129" s="57">
        <v>332820</v>
      </c>
      <c r="AV129" s="57">
        <v>343423</v>
      </c>
      <c r="AW129" s="57">
        <v>413315</v>
      </c>
      <c r="AX129" s="57">
        <v>583772</v>
      </c>
      <c r="AY129" s="57">
        <v>297286</v>
      </c>
      <c r="AZ129" s="57">
        <v>312391</v>
      </c>
      <c r="BA129" s="57">
        <v>396450</v>
      </c>
      <c r="BB129" s="57">
        <v>396449</v>
      </c>
      <c r="BC129" s="57">
        <v>290823</v>
      </c>
      <c r="BD129" s="57">
        <v>417851</v>
      </c>
      <c r="BE129" s="57">
        <v>310792</v>
      </c>
      <c r="BF129" s="57">
        <v>332714</v>
      </c>
      <c r="BG129" s="57">
        <v>291112</v>
      </c>
      <c r="BH129" s="57">
        <v>339581</v>
      </c>
      <c r="BI129" s="57">
        <v>401806</v>
      </c>
      <c r="BJ129" s="57">
        <v>562524</v>
      </c>
      <c r="BK129" s="57">
        <v>305026</v>
      </c>
      <c r="BL129" s="57">
        <v>307723</v>
      </c>
      <c r="BM129" s="57">
        <v>375366</v>
      </c>
      <c r="BN129" s="57">
        <v>368887</v>
      </c>
      <c r="BO129" s="57">
        <v>302338</v>
      </c>
      <c r="BP129" s="57">
        <v>404057</v>
      </c>
      <c r="BQ129" s="57">
        <v>346873</v>
      </c>
      <c r="BR129" s="57">
        <v>357307</v>
      </c>
      <c r="BS129" s="57">
        <v>319670</v>
      </c>
      <c r="BT129" s="57">
        <v>342477</v>
      </c>
      <c r="BU129" s="57">
        <v>401377</v>
      </c>
      <c r="BV129" s="57">
        <v>532504</v>
      </c>
      <c r="BW129" s="57">
        <v>314950</v>
      </c>
      <c r="BX129" s="57">
        <v>327418</v>
      </c>
      <c r="BY129" s="57">
        <v>366974</v>
      </c>
      <c r="BZ129" s="57">
        <v>379422</v>
      </c>
      <c r="CA129" s="57">
        <v>317179</v>
      </c>
      <c r="CB129" s="57">
        <v>458856</v>
      </c>
      <c r="CC129" s="57">
        <v>259905</v>
      </c>
      <c r="CD129" s="57">
        <v>315736</v>
      </c>
      <c r="CE129" s="57">
        <v>284293</v>
      </c>
      <c r="CF129" s="57">
        <v>301194</v>
      </c>
      <c r="CG129" s="57">
        <v>362052</v>
      </c>
      <c r="CH129" s="57">
        <v>485207</v>
      </c>
      <c r="CI129" s="57">
        <v>219232</v>
      </c>
      <c r="CJ129" s="57">
        <v>174404</v>
      </c>
      <c r="CK129" s="57">
        <v>283892</v>
      </c>
      <c r="CL129" s="57">
        <v>330771</v>
      </c>
      <c r="CM129" s="57">
        <v>270346</v>
      </c>
      <c r="CN129" s="57">
        <v>390847</v>
      </c>
      <c r="CO129" s="57">
        <v>339923</v>
      </c>
      <c r="CP129" s="57">
        <v>336908</v>
      </c>
      <c r="CQ129" s="57">
        <v>315205</v>
      </c>
      <c r="CR129" s="57">
        <v>324546</v>
      </c>
      <c r="CS129" s="57">
        <v>361891</v>
      </c>
      <c r="CT129" s="57">
        <v>510386</v>
      </c>
      <c r="CU129" s="57">
        <v>288398</v>
      </c>
      <c r="CV129" s="57">
        <v>261522</v>
      </c>
      <c r="CW129" s="57">
        <v>296623</v>
      </c>
      <c r="CX129" s="57">
        <v>309463</v>
      </c>
      <c r="CY129" s="57">
        <v>263602</v>
      </c>
      <c r="CZ129" s="57">
        <v>256963</v>
      </c>
      <c r="DA129" s="57">
        <v>230499</v>
      </c>
      <c r="DB129" s="57">
        <v>291665</v>
      </c>
      <c r="DC129" s="57">
        <v>280141</v>
      </c>
    </row>
    <row r="130" spans="1:107" ht="12" customHeight="1" x14ac:dyDescent="0.25">
      <c r="A130" s="54" t="s">
        <v>5</v>
      </c>
      <c r="B130" s="57">
        <v>536495</v>
      </c>
      <c r="C130" s="57">
        <v>616671</v>
      </c>
      <c r="D130" s="57">
        <v>767652</v>
      </c>
      <c r="E130" s="57">
        <v>655232</v>
      </c>
      <c r="F130" s="57">
        <v>628445</v>
      </c>
      <c r="G130" s="57">
        <v>764458</v>
      </c>
      <c r="H130" s="57">
        <v>560762</v>
      </c>
      <c r="I130" s="57">
        <f>6582947-5947370</f>
        <v>635577</v>
      </c>
      <c r="J130" s="57">
        <v>606988</v>
      </c>
      <c r="K130" s="57">
        <v>564065</v>
      </c>
      <c r="L130" s="57">
        <v>493455</v>
      </c>
      <c r="M130" s="57">
        <v>580209</v>
      </c>
      <c r="N130" s="57">
        <v>768542</v>
      </c>
      <c r="O130" s="57">
        <v>681577</v>
      </c>
      <c r="P130" s="57">
        <v>792922</v>
      </c>
      <c r="Q130" s="57">
        <v>703494</v>
      </c>
      <c r="R130" s="57">
        <v>689674</v>
      </c>
      <c r="S130" s="57">
        <v>763279</v>
      </c>
      <c r="T130" s="57">
        <v>585799</v>
      </c>
      <c r="U130" s="57">
        <v>596010</v>
      </c>
      <c r="V130" s="57">
        <v>601182</v>
      </c>
      <c r="W130" s="57">
        <v>599634</v>
      </c>
      <c r="X130" s="57">
        <v>520981</v>
      </c>
      <c r="Y130" s="57">
        <v>587155</v>
      </c>
      <c r="Z130" s="57">
        <v>729761</v>
      </c>
      <c r="AA130" s="57">
        <v>668681</v>
      </c>
      <c r="AB130" s="57">
        <v>765113</v>
      </c>
      <c r="AC130" s="57">
        <v>677411</v>
      </c>
      <c r="AD130" s="57">
        <v>669195</v>
      </c>
      <c r="AE130" s="57">
        <v>687998</v>
      </c>
      <c r="AF130" s="57">
        <v>619109</v>
      </c>
      <c r="AG130" s="57">
        <v>620733</v>
      </c>
      <c r="AH130" s="57">
        <v>546313</v>
      </c>
      <c r="AI130" s="57">
        <v>650311</v>
      </c>
      <c r="AJ130" s="57">
        <v>486245</v>
      </c>
      <c r="AK130" s="57">
        <v>572398</v>
      </c>
      <c r="AL130" s="57">
        <v>687459</v>
      </c>
      <c r="AM130" s="57">
        <v>568005</v>
      </c>
      <c r="AN130" s="57">
        <v>630037</v>
      </c>
      <c r="AO130" s="57">
        <v>606202</v>
      </c>
      <c r="AP130" s="57">
        <v>604158</v>
      </c>
      <c r="AQ130" s="57">
        <v>566333</v>
      </c>
      <c r="AR130" s="57">
        <v>575114</v>
      </c>
      <c r="AS130" s="57">
        <v>484138</v>
      </c>
      <c r="AT130" s="57">
        <v>511280</v>
      </c>
      <c r="AU130" s="57">
        <v>601709</v>
      </c>
      <c r="AV130" s="57">
        <v>412760</v>
      </c>
      <c r="AW130" s="57">
        <v>486147</v>
      </c>
      <c r="AX130" s="57">
        <v>591071</v>
      </c>
      <c r="AY130" s="57">
        <v>542291</v>
      </c>
      <c r="AZ130" s="57">
        <v>565890</v>
      </c>
      <c r="BA130" s="57">
        <v>523900</v>
      </c>
      <c r="BB130" s="57">
        <f>3626640-3122059</f>
        <v>504581</v>
      </c>
      <c r="BC130" s="57">
        <v>526924</v>
      </c>
      <c r="BD130" s="57">
        <v>538274</v>
      </c>
      <c r="BE130" s="57">
        <v>462144</v>
      </c>
      <c r="BF130" s="57">
        <v>466766</v>
      </c>
      <c r="BG130" s="57">
        <v>518325</v>
      </c>
      <c r="BH130" s="57">
        <v>367270</v>
      </c>
      <c r="BI130" s="57">
        <v>425877</v>
      </c>
      <c r="BJ130" s="57">
        <v>539597</v>
      </c>
      <c r="BK130" s="57">
        <v>426699</v>
      </c>
      <c r="BL130" s="57">
        <v>502241</v>
      </c>
      <c r="BM130" s="57">
        <v>509092</v>
      </c>
      <c r="BN130" s="57">
        <v>541569</v>
      </c>
      <c r="BO130" s="57">
        <v>300544</v>
      </c>
      <c r="BP130" s="57">
        <v>461272</v>
      </c>
      <c r="BQ130" s="57">
        <v>420776</v>
      </c>
      <c r="BR130" s="57">
        <v>405837</v>
      </c>
      <c r="BS130" s="57">
        <v>458677</v>
      </c>
      <c r="BT130" s="57">
        <v>361908</v>
      </c>
      <c r="BU130" s="57">
        <v>367601</v>
      </c>
      <c r="BV130" s="57">
        <v>465442</v>
      </c>
      <c r="BW130" s="57">
        <v>395269</v>
      </c>
      <c r="BX130" s="57">
        <v>448623</v>
      </c>
      <c r="BY130" s="57">
        <v>435626</v>
      </c>
      <c r="BZ130" s="57">
        <v>398546</v>
      </c>
      <c r="CA130" s="57">
        <v>468743</v>
      </c>
      <c r="CB130" s="57">
        <v>338831</v>
      </c>
      <c r="CC130" s="57">
        <v>372063</v>
      </c>
      <c r="CD130" s="57">
        <v>393710</v>
      </c>
      <c r="CE130" s="57">
        <v>414511</v>
      </c>
      <c r="CF130" s="57">
        <v>932617</v>
      </c>
      <c r="CG130" s="57">
        <v>1117244</v>
      </c>
      <c r="CH130" s="57">
        <v>757737</v>
      </c>
      <c r="CI130" s="57">
        <v>509411</v>
      </c>
      <c r="CJ130" s="57">
        <v>889041</v>
      </c>
      <c r="CK130" s="57">
        <v>873916</v>
      </c>
      <c r="CL130" s="57">
        <v>982608</v>
      </c>
      <c r="CM130" s="57">
        <v>1079283</v>
      </c>
      <c r="CN130" s="57">
        <v>1046562</v>
      </c>
      <c r="CO130" s="57">
        <v>1124789</v>
      </c>
      <c r="CP130" s="57">
        <v>986288</v>
      </c>
      <c r="CQ130" s="57">
        <v>1254053</v>
      </c>
      <c r="CR130" s="57">
        <v>883857</v>
      </c>
      <c r="CS130" s="57">
        <v>949639</v>
      </c>
      <c r="CT130" s="57">
        <v>1197173</v>
      </c>
      <c r="CU130" s="57">
        <v>1199025</v>
      </c>
      <c r="CV130" s="57">
        <v>1295150</v>
      </c>
      <c r="CW130" s="57">
        <v>1150070</v>
      </c>
      <c r="CX130" s="57">
        <v>947435</v>
      </c>
      <c r="CY130" s="57">
        <v>875005</v>
      </c>
      <c r="CZ130" s="57">
        <v>802521</v>
      </c>
      <c r="DA130" s="57">
        <v>914167</v>
      </c>
      <c r="DB130" s="57">
        <v>784431</v>
      </c>
      <c r="DC130" s="57">
        <v>1014035</v>
      </c>
    </row>
    <row r="131" spans="1:107" ht="12" customHeight="1" x14ac:dyDescent="0.25">
      <c r="A131" s="54" t="s">
        <v>6</v>
      </c>
      <c r="B131" s="57">
        <v>1725525</v>
      </c>
      <c r="C131" s="57">
        <v>1111892</v>
      </c>
      <c r="D131" s="57">
        <v>1585509</v>
      </c>
      <c r="E131" s="57">
        <v>1441441</v>
      </c>
      <c r="F131" s="57">
        <v>1237596</v>
      </c>
      <c r="G131" s="57">
        <v>1353200</v>
      </c>
      <c r="H131" s="57">
        <v>1593512</v>
      </c>
      <c r="I131" s="57">
        <v>1605700</v>
      </c>
      <c r="J131" s="57">
        <v>1696300</v>
      </c>
      <c r="K131" s="57">
        <v>1777776</v>
      </c>
      <c r="L131" s="57">
        <v>1846846</v>
      </c>
      <c r="M131" s="57">
        <v>1312197</v>
      </c>
      <c r="N131" s="57">
        <v>1710067</v>
      </c>
      <c r="O131" s="57">
        <v>1609035</v>
      </c>
      <c r="P131" s="57">
        <v>1590400</v>
      </c>
      <c r="Q131" s="57">
        <v>1564117</v>
      </c>
      <c r="R131" s="57">
        <v>1357948</v>
      </c>
      <c r="S131" s="57">
        <v>1468200</v>
      </c>
      <c r="T131" s="57">
        <v>1696001</v>
      </c>
      <c r="U131" s="57">
        <v>1708861</v>
      </c>
      <c r="V131" s="57">
        <v>1775320</v>
      </c>
      <c r="W131" s="57">
        <v>2061657</v>
      </c>
      <c r="X131" s="57">
        <v>2038000</v>
      </c>
      <c r="Y131" s="57">
        <v>1396733</v>
      </c>
      <c r="Z131" s="57">
        <v>1870357</v>
      </c>
      <c r="AA131" s="57">
        <v>1668824</v>
      </c>
      <c r="AB131" s="57">
        <v>1609274</v>
      </c>
      <c r="AC131" s="57">
        <v>1511439</v>
      </c>
      <c r="AD131" s="57">
        <v>1268597</v>
      </c>
      <c r="AE131" s="57">
        <v>1418462</v>
      </c>
      <c r="AF131" s="57">
        <v>1751218</v>
      </c>
      <c r="AG131" s="57">
        <v>1936875</v>
      </c>
      <c r="AH131" s="57">
        <v>2196770</v>
      </c>
      <c r="AI131" s="57">
        <v>2412948</v>
      </c>
      <c r="AJ131" s="57">
        <v>2228705</v>
      </c>
      <c r="AK131" s="57">
        <v>1376681</v>
      </c>
      <c r="AL131" s="57">
        <v>2055706</v>
      </c>
      <c r="AM131" s="57">
        <v>1779130</v>
      </c>
      <c r="AN131" s="57">
        <v>1793024</v>
      </c>
      <c r="AO131" s="57">
        <v>1784064</v>
      </c>
      <c r="AP131" s="57">
        <v>1604530</v>
      </c>
      <c r="AQ131" s="57">
        <v>1795512</v>
      </c>
      <c r="AR131" s="57">
        <v>2268300</v>
      </c>
      <c r="AS131" s="57">
        <v>2344166</v>
      </c>
      <c r="AT131" s="57">
        <v>2590157</v>
      </c>
      <c r="AU131" s="57">
        <v>2756927</v>
      </c>
      <c r="AV131" s="57">
        <v>2218215</v>
      </c>
      <c r="AW131" s="57">
        <v>1632700</v>
      </c>
      <c r="AX131" s="57">
        <v>2096300</v>
      </c>
      <c r="AY131" s="57">
        <v>1722277</v>
      </c>
      <c r="AZ131" s="57">
        <v>1751294</v>
      </c>
      <c r="BA131" s="57">
        <v>1831847</v>
      </c>
      <c r="BB131" s="57">
        <f>824946+689512+136506+27469</f>
        <v>1678433</v>
      </c>
      <c r="BC131" s="57">
        <v>1875193</v>
      </c>
      <c r="BD131" s="57">
        <v>2342567</v>
      </c>
      <c r="BE131" s="57">
        <v>2352462</v>
      </c>
      <c r="BF131" s="57">
        <v>2589477</v>
      </c>
      <c r="BG131" s="57">
        <v>2627556</v>
      </c>
      <c r="BH131" s="57">
        <v>2456200</v>
      </c>
      <c r="BI131" s="57">
        <v>1475469</v>
      </c>
      <c r="BJ131" s="57">
        <v>2168570</v>
      </c>
      <c r="BK131" s="57">
        <v>1914369</v>
      </c>
      <c r="BL131" s="57">
        <v>1889414</v>
      </c>
      <c r="BM131" s="57">
        <v>1874181</v>
      </c>
      <c r="BN131" s="57">
        <v>1589544</v>
      </c>
      <c r="BO131" s="57">
        <v>1789871</v>
      </c>
      <c r="BP131" s="57">
        <v>2060478</v>
      </c>
      <c r="BQ131" s="57">
        <v>2046840</v>
      </c>
      <c r="BR131" s="57">
        <v>2173485</v>
      </c>
      <c r="BS131" s="57">
        <v>2271379</v>
      </c>
      <c r="BT131" s="57">
        <v>2021089</v>
      </c>
      <c r="BU131" s="57">
        <v>1219497</v>
      </c>
      <c r="BV131" s="57">
        <v>2019443</v>
      </c>
      <c r="BW131" s="57">
        <v>1574877</v>
      </c>
      <c r="BX131" s="57">
        <v>1561172</v>
      </c>
      <c r="BY131" s="57">
        <v>1727910</v>
      </c>
      <c r="BZ131" s="57">
        <v>1527912</v>
      </c>
      <c r="CA131" s="57">
        <v>1652908</v>
      </c>
      <c r="CB131" s="57">
        <v>1930637</v>
      </c>
      <c r="CC131" s="57">
        <v>1927669</v>
      </c>
      <c r="CD131" s="57">
        <v>2056669</v>
      </c>
      <c r="CE131" s="57">
        <v>2224397</v>
      </c>
      <c r="CF131" s="57">
        <v>1606851</v>
      </c>
      <c r="CG131" s="57">
        <v>223605</v>
      </c>
      <c r="CH131" s="57">
        <v>1043000</v>
      </c>
      <c r="CI131" s="57">
        <v>1536206</v>
      </c>
      <c r="CJ131" s="57">
        <v>1673682</v>
      </c>
      <c r="CK131" s="57">
        <v>1763626</v>
      </c>
      <c r="CL131" s="57">
        <f>1665000-311</f>
        <v>1664689</v>
      </c>
      <c r="CM131" s="57">
        <v>1754529</v>
      </c>
      <c r="CN131" s="57">
        <v>2088191</v>
      </c>
      <c r="CO131" s="57">
        <v>2109557</v>
      </c>
      <c r="CP131" s="57">
        <v>2297401</v>
      </c>
      <c r="CQ131" s="57">
        <v>2416705</v>
      </c>
      <c r="CR131" s="57">
        <v>2044769</v>
      </c>
      <c r="CS131" s="57">
        <v>1155887</v>
      </c>
      <c r="CT131" s="57">
        <v>1874198</v>
      </c>
      <c r="CU131" s="57">
        <v>1704040</v>
      </c>
      <c r="CV131" s="57">
        <v>1646037</v>
      </c>
      <c r="CW131" s="57">
        <v>1569081</v>
      </c>
      <c r="CX131" s="57">
        <v>1551395</v>
      </c>
      <c r="CY131" s="57">
        <v>1551987</v>
      </c>
      <c r="CZ131" s="57">
        <v>1750517</v>
      </c>
      <c r="DA131" s="57">
        <v>2006816</v>
      </c>
      <c r="DB131" s="57">
        <v>2191953</v>
      </c>
      <c r="DC131" s="57">
        <v>2434744</v>
      </c>
    </row>
    <row r="132" spans="1:107" ht="12" customHeight="1" x14ac:dyDescent="0.25">
      <c r="A132" s="54" t="s">
        <v>7</v>
      </c>
      <c r="B132" s="57">
        <v>95648</v>
      </c>
      <c r="C132" s="57">
        <v>91519</v>
      </c>
      <c r="D132" s="57">
        <v>110140</v>
      </c>
      <c r="E132" s="57">
        <v>111002</v>
      </c>
      <c r="F132" s="57">
        <v>121293</v>
      </c>
      <c r="G132" s="57">
        <v>107220</v>
      </c>
      <c r="H132" s="57">
        <v>98571</v>
      </c>
      <c r="I132" s="57">
        <v>113351</v>
      </c>
      <c r="J132" s="57">
        <v>110939</v>
      </c>
      <c r="K132" s="57">
        <v>113760</v>
      </c>
      <c r="L132" s="57">
        <v>101556</v>
      </c>
      <c r="M132" s="57">
        <v>102569</v>
      </c>
      <c r="N132" s="57">
        <v>114731</v>
      </c>
      <c r="O132" s="57">
        <v>121857</v>
      </c>
      <c r="P132" s="57">
        <v>117795</v>
      </c>
      <c r="Q132" s="57">
        <v>118472</v>
      </c>
      <c r="R132" s="57">
        <v>125173</v>
      </c>
      <c r="S132" s="57">
        <v>107081</v>
      </c>
      <c r="T132" s="57">
        <v>111861</v>
      </c>
      <c r="U132" s="57">
        <v>117299</v>
      </c>
      <c r="V132" s="57">
        <v>120833</v>
      </c>
      <c r="W132" s="57">
        <v>131862</v>
      </c>
      <c r="X132" s="57">
        <v>110012</v>
      </c>
      <c r="Y132" s="57">
        <v>102086</v>
      </c>
      <c r="Z132" s="57">
        <v>126715</v>
      </c>
      <c r="AA132" s="57">
        <v>129064</v>
      </c>
      <c r="AB132" s="57">
        <v>119778</v>
      </c>
      <c r="AC132" s="57">
        <v>135335</v>
      </c>
      <c r="AD132" s="57">
        <v>131570</v>
      </c>
      <c r="AE132" s="57">
        <v>121686</v>
      </c>
      <c r="AF132" s="57">
        <v>129872</v>
      </c>
      <c r="AG132" s="57">
        <v>141205</v>
      </c>
      <c r="AH132" s="57">
        <v>139278</v>
      </c>
      <c r="AI132" s="57">
        <v>179584</v>
      </c>
      <c r="AJ132" s="57">
        <v>102238</v>
      </c>
      <c r="AK132" s="57">
        <v>108639</v>
      </c>
      <c r="AL132" s="57">
        <v>148287</v>
      </c>
      <c r="AM132" s="57">
        <v>135185</v>
      </c>
      <c r="AN132" s="57">
        <v>143019</v>
      </c>
      <c r="AO132" s="57">
        <v>160144</v>
      </c>
      <c r="AP132" s="57">
        <v>114965</v>
      </c>
      <c r="AQ132" s="57">
        <v>107882</v>
      </c>
      <c r="AR132" s="57">
        <v>114365</v>
      </c>
      <c r="AS132" s="57">
        <v>130179</v>
      </c>
      <c r="AT132" s="57">
        <v>141834</v>
      </c>
      <c r="AU132" s="57">
        <v>161919</v>
      </c>
      <c r="AV132" s="57">
        <v>103635</v>
      </c>
      <c r="AW132" s="57">
        <v>114922</v>
      </c>
      <c r="AX132" s="57">
        <f>73664+47333+22080</f>
        <v>143077</v>
      </c>
      <c r="AY132" s="57">
        <v>129974</v>
      </c>
      <c r="AZ132" s="57">
        <v>131866</v>
      </c>
      <c r="BA132" s="57">
        <v>140181</v>
      </c>
      <c r="BB132" s="57">
        <f>62969+46016+17628</f>
        <v>126613</v>
      </c>
      <c r="BC132" s="57">
        <v>120278</v>
      </c>
      <c r="BD132" s="57">
        <v>133264</v>
      </c>
      <c r="BE132" s="57">
        <v>111566</v>
      </c>
      <c r="BF132" s="57">
        <v>125000</v>
      </c>
      <c r="BG132" s="57">
        <v>134749</v>
      </c>
      <c r="BH132" s="57">
        <v>115478</v>
      </c>
      <c r="BI132" s="57">
        <v>107560</v>
      </c>
      <c r="BJ132" s="57">
        <v>143171</v>
      </c>
      <c r="BK132" s="57">
        <v>134197</v>
      </c>
      <c r="BL132" s="57">
        <v>135606</v>
      </c>
      <c r="BM132" s="57">
        <v>132884</v>
      </c>
      <c r="BN132" s="57">
        <v>133129</v>
      </c>
      <c r="BO132" s="57">
        <v>128941</v>
      </c>
      <c r="BP132" s="57">
        <v>109138</v>
      </c>
      <c r="BQ132" s="57">
        <v>137251</v>
      </c>
      <c r="BR132" s="57">
        <v>139537</v>
      </c>
      <c r="BS132" s="57">
        <v>138618</v>
      </c>
      <c r="BT132" s="57">
        <v>116667</v>
      </c>
      <c r="BU132" s="57">
        <v>102817</v>
      </c>
      <c r="BV132" s="57">
        <v>132461</v>
      </c>
      <c r="BW132" s="57">
        <v>130875</v>
      </c>
      <c r="BX132" s="57">
        <v>131258</v>
      </c>
      <c r="BY132" s="57">
        <v>123603</v>
      </c>
      <c r="BZ132" s="57">
        <v>127851</v>
      </c>
      <c r="CA132" s="57">
        <v>120441</v>
      </c>
      <c r="CB132" s="57">
        <v>118895</v>
      </c>
      <c r="CC132" s="57">
        <v>137218</v>
      </c>
      <c r="CD132" s="57">
        <v>141583</v>
      </c>
      <c r="CE132" s="57">
        <v>155996</v>
      </c>
      <c r="CF132" s="57">
        <v>95636</v>
      </c>
      <c r="CG132" s="57">
        <v>79790</v>
      </c>
      <c r="CH132" s="57">
        <v>145487</v>
      </c>
      <c r="CI132" s="57">
        <v>144604</v>
      </c>
      <c r="CJ132" s="57">
        <v>146077</v>
      </c>
      <c r="CK132" s="57">
        <v>177545</v>
      </c>
      <c r="CL132" s="57">
        <v>140200</v>
      </c>
      <c r="CM132" s="57">
        <v>114671</v>
      </c>
      <c r="CN132" s="57">
        <v>135843</v>
      </c>
      <c r="CO132" s="57">
        <v>134601</v>
      </c>
      <c r="CP132" s="57">
        <v>146329</v>
      </c>
      <c r="CQ132" s="57">
        <v>142067</v>
      </c>
      <c r="CR132" s="57">
        <v>116688</v>
      </c>
      <c r="CS132" s="57">
        <v>104917</v>
      </c>
      <c r="CT132" s="57">
        <v>141063</v>
      </c>
      <c r="CU132" s="57">
        <v>137822</v>
      </c>
      <c r="CV132" s="57">
        <v>126832</v>
      </c>
      <c r="CW132" s="57">
        <v>134577</v>
      </c>
      <c r="CX132" s="57">
        <v>123304</v>
      </c>
      <c r="CY132" s="57">
        <v>107581</v>
      </c>
      <c r="CZ132" s="57">
        <v>95322</v>
      </c>
      <c r="DA132" s="57">
        <v>109561</v>
      </c>
      <c r="DB132" s="57">
        <v>119290</v>
      </c>
      <c r="DC132" s="57">
        <v>132892</v>
      </c>
    </row>
    <row r="133" spans="1:107" ht="12" customHeight="1" x14ac:dyDescent="0.25">
      <c r="A133" s="54" t="s">
        <v>8</v>
      </c>
      <c r="B133" s="57">
        <v>231343</v>
      </c>
      <c r="C133" s="57">
        <v>172080</v>
      </c>
      <c r="D133" s="57">
        <v>209797</v>
      </c>
      <c r="E133" s="57">
        <v>244060</v>
      </c>
      <c r="F133" s="57">
        <v>250052</v>
      </c>
      <c r="G133" s="57">
        <v>241695</v>
      </c>
      <c r="H133" s="57">
        <v>221421</v>
      </c>
      <c r="I133" s="57">
        <f>2273841-2035100</f>
        <v>238741</v>
      </c>
      <c r="J133" s="57">
        <v>223050</v>
      </c>
      <c r="K133" s="57">
        <v>258369</v>
      </c>
      <c r="L133" s="57">
        <v>228670</v>
      </c>
      <c r="M133" s="57">
        <v>182657</v>
      </c>
      <c r="N133" s="57">
        <v>170861</v>
      </c>
      <c r="O133" s="57">
        <v>211225</v>
      </c>
      <c r="P133" s="57">
        <v>207184</v>
      </c>
      <c r="Q133" s="57">
        <v>186285</v>
      </c>
      <c r="R133" s="57">
        <v>207971</v>
      </c>
      <c r="S133" s="57">
        <v>193146</v>
      </c>
      <c r="T133" s="57">
        <v>209815</v>
      </c>
      <c r="U133" s="57">
        <v>216514</v>
      </c>
      <c r="V133" s="57">
        <v>210342</v>
      </c>
      <c r="W133" s="57">
        <v>272019</v>
      </c>
      <c r="X133" s="57">
        <v>185074</v>
      </c>
      <c r="Y133" s="57">
        <v>149848</v>
      </c>
      <c r="Z133" s="57">
        <v>189878</v>
      </c>
      <c r="AA133" s="57">
        <v>179202</v>
      </c>
      <c r="AB133" s="57">
        <v>175636</v>
      </c>
      <c r="AC133" s="57">
        <v>175272</v>
      </c>
      <c r="AD133" s="57">
        <v>187008</v>
      </c>
      <c r="AE133" s="57">
        <v>172615</v>
      </c>
      <c r="AF133" s="57">
        <v>166361</v>
      </c>
      <c r="AG133" s="57">
        <v>161604</v>
      </c>
      <c r="AH133" s="57">
        <v>165986</v>
      </c>
      <c r="AI133" s="57">
        <v>193111</v>
      </c>
      <c r="AJ133" s="57">
        <v>131272</v>
      </c>
      <c r="AK133" s="57">
        <v>122702</v>
      </c>
      <c r="AL133" s="57">
        <v>147655</v>
      </c>
      <c r="AM133" s="57">
        <v>131204</v>
      </c>
      <c r="AN133" s="57">
        <v>137448</v>
      </c>
      <c r="AO133" s="57">
        <v>140419</v>
      </c>
      <c r="AP133" s="57">
        <v>146590</v>
      </c>
      <c r="AQ133" s="57">
        <v>148888</v>
      </c>
      <c r="AR133" s="57">
        <v>130856</v>
      </c>
      <c r="AS133" s="57">
        <v>132230</v>
      </c>
      <c r="AT133" s="57">
        <v>147459</v>
      </c>
      <c r="AU133" s="57">
        <v>168311</v>
      </c>
      <c r="AV133" s="57">
        <v>121399</v>
      </c>
      <c r="AW133" s="57">
        <v>112383</v>
      </c>
      <c r="AX133" s="57">
        <v>158084</v>
      </c>
      <c r="AY133" s="57">
        <v>131516</v>
      </c>
      <c r="AZ133" s="57">
        <v>163294</v>
      </c>
      <c r="BA133" s="57">
        <v>161150</v>
      </c>
      <c r="BB133" s="57">
        <f>119893+31810</f>
        <v>151703</v>
      </c>
      <c r="BC133" s="57">
        <v>180888</v>
      </c>
      <c r="BD133" s="57">
        <v>167989</v>
      </c>
      <c r="BE133" s="57">
        <v>166834</v>
      </c>
      <c r="BF133" s="57">
        <v>168875</v>
      </c>
      <c r="BG133" s="57">
        <v>171988</v>
      </c>
      <c r="BH133" s="57">
        <v>148898</v>
      </c>
      <c r="BI133" s="57">
        <v>129739</v>
      </c>
      <c r="BJ133" s="57">
        <v>172821</v>
      </c>
      <c r="BK133" s="57">
        <v>178583</v>
      </c>
      <c r="BL133" s="57">
        <v>164426</v>
      </c>
      <c r="BM133" s="57">
        <v>163517</v>
      </c>
      <c r="BN133" s="57">
        <v>176160</v>
      </c>
      <c r="BO133" s="57">
        <v>203926</v>
      </c>
      <c r="BP133" s="57">
        <v>173193</v>
      </c>
      <c r="BQ133" s="57">
        <v>208814</v>
      </c>
      <c r="BR133" s="57">
        <v>190771</v>
      </c>
      <c r="BS133" s="57">
        <v>190995</v>
      </c>
      <c r="BT133" s="57">
        <v>163796</v>
      </c>
      <c r="BU133" s="57">
        <v>162537</v>
      </c>
      <c r="BV133" s="57">
        <v>170148</v>
      </c>
      <c r="BW133" s="57">
        <v>189097</v>
      </c>
      <c r="BX133" s="57">
        <v>198779</v>
      </c>
      <c r="BY133" s="57">
        <v>181291</v>
      </c>
      <c r="BZ133" s="57">
        <v>195854</v>
      </c>
      <c r="CA133" s="57">
        <v>195917</v>
      </c>
      <c r="CB133" s="57">
        <v>187816</v>
      </c>
      <c r="CC133" s="57">
        <v>204523</v>
      </c>
      <c r="CD133" s="57">
        <v>196770</v>
      </c>
      <c r="CE133" s="57">
        <v>215439</v>
      </c>
      <c r="CF133" s="57">
        <v>154563</v>
      </c>
      <c r="CG133" s="57">
        <v>165140</v>
      </c>
      <c r="CH133" s="57">
        <v>131275</v>
      </c>
      <c r="CI133" s="57">
        <v>39501</v>
      </c>
      <c r="CJ133" s="57">
        <v>44139</v>
      </c>
      <c r="CK133" s="57">
        <v>102400</v>
      </c>
      <c r="CL133" s="57">
        <f>771908-637018</f>
        <v>134890</v>
      </c>
      <c r="CM133" s="57">
        <v>142046</v>
      </c>
      <c r="CN133" s="57">
        <v>161093</v>
      </c>
      <c r="CO133" s="57">
        <v>168637</v>
      </c>
      <c r="CP133" s="57">
        <v>177565</v>
      </c>
      <c r="CQ133" s="57">
        <v>194693</v>
      </c>
      <c r="CR133" s="57">
        <v>130804</v>
      </c>
      <c r="CS133" s="57">
        <v>128111</v>
      </c>
      <c r="CT133" s="57">
        <v>141952</v>
      </c>
      <c r="CU133" s="57">
        <v>127463</v>
      </c>
      <c r="CV133" s="57">
        <v>142701</v>
      </c>
      <c r="CW133" s="57">
        <v>133318</v>
      </c>
      <c r="CX133" s="57">
        <v>123579</v>
      </c>
      <c r="CY133" s="57">
        <v>119828</v>
      </c>
      <c r="CZ133" s="57">
        <v>109118</v>
      </c>
      <c r="DA133" s="57">
        <v>119328</v>
      </c>
      <c r="DB133" s="57">
        <v>125974</v>
      </c>
      <c r="DC133" s="57">
        <v>156146</v>
      </c>
    </row>
    <row r="134" spans="1:107" ht="12" customHeight="1" x14ac:dyDescent="0.25">
      <c r="A134" s="54" t="s">
        <v>9</v>
      </c>
      <c r="B134" s="57">
        <v>242430</v>
      </c>
      <c r="C134" s="57">
        <v>226484</v>
      </c>
      <c r="D134" s="57">
        <v>256979</v>
      </c>
      <c r="E134" s="57">
        <v>208386</v>
      </c>
      <c r="F134" s="57">
        <v>186239</v>
      </c>
      <c r="G134" s="57">
        <v>190053</v>
      </c>
      <c r="H134" s="57">
        <f>156018+60013</f>
        <v>216031</v>
      </c>
      <c r="I134" s="57">
        <v>239137</v>
      </c>
      <c r="J134" s="57">
        <v>201520</v>
      </c>
      <c r="K134" s="57">
        <v>189643</v>
      </c>
      <c r="L134" s="57">
        <v>219809</v>
      </c>
      <c r="M134" s="57">
        <v>217749</v>
      </c>
      <c r="N134" s="57">
        <v>238212</v>
      </c>
      <c r="O134" s="57">
        <v>188541</v>
      </c>
      <c r="P134" s="57">
        <v>207953</v>
      </c>
      <c r="Q134" s="57">
        <v>218828</v>
      </c>
      <c r="R134" s="57">
        <v>199435</v>
      </c>
      <c r="S134" s="57">
        <v>213915</v>
      </c>
      <c r="T134" s="57">
        <v>223568</v>
      </c>
      <c r="U134" s="57">
        <v>221151</v>
      </c>
      <c r="V134" s="57">
        <v>212438</v>
      </c>
      <c r="W134" s="57">
        <v>209025</v>
      </c>
      <c r="X134" s="57">
        <v>230619</v>
      </c>
      <c r="Y134" s="57">
        <v>231165</v>
      </c>
      <c r="Z134" s="57">
        <v>244395</v>
      </c>
      <c r="AA134" s="57">
        <v>217949</v>
      </c>
      <c r="AB134" s="57">
        <v>217671</v>
      </c>
      <c r="AC134" s="57">
        <v>217642</v>
      </c>
      <c r="AD134" s="57">
        <v>222368</v>
      </c>
      <c r="AE134" s="57">
        <v>222476</v>
      </c>
      <c r="AF134" s="57">
        <v>232167</v>
      </c>
      <c r="AG134" s="57">
        <v>268629</v>
      </c>
      <c r="AH134" s="57">
        <v>236664</v>
      </c>
      <c r="AI134" s="57">
        <v>230960</v>
      </c>
      <c r="AJ134" s="57">
        <v>232016</v>
      </c>
      <c r="AK134" s="57">
        <v>234154</v>
      </c>
      <c r="AL134" s="57">
        <v>256942</v>
      </c>
      <c r="AM134" s="57">
        <v>242060</v>
      </c>
      <c r="AN134" s="57">
        <v>231640</v>
      </c>
      <c r="AO134" s="57">
        <v>222454</v>
      </c>
      <c r="AP134" s="57">
        <v>259685</v>
      </c>
      <c r="AQ134" s="57">
        <v>258722</v>
      </c>
      <c r="AR134" s="57">
        <v>278428</v>
      </c>
      <c r="AS134" s="57">
        <v>280677</v>
      </c>
      <c r="AT134" s="57">
        <v>240979</v>
      </c>
      <c r="AU134" s="57">
        <v>227824</v>
      </c>
      <c r="AV134" s="57">
        <v>265320</v>
      </c>
      <c r="AW134" s="57">
        <v>255359</v>
      </c>
      <c r="AX134" s="57">
        <v>282519</v>
      </c>
      <c r="AY134" s="57">
        <v>277602</v>
      </c>
      <c r="AZ134" s="57">
        <v>251642</v>
      </c>
      <c r="BA134" s="57">
        <v>198399</v>
      </c>
      <c r="BB134" s="57">
        <f>192773+106224</f>
        <v>298997</v>
      </c>
      <c r="BC134" s="57">
        <v>294335</v>
      </c>
      <c r="BD134" s="57">
        <v>309955</v>
      </c>
      <c r="BE134" s="57">
        <v>279837</v>
      </c>
      <c r="BF134" s="57">
        <v>275417</v>
      </c>
      <c r="BG134" s="57">
        <v>239712</v>
      </c>
      <c r="BH134" s="57">
        <v>285477</v>
      </c>
      <c r="BI134" s="57">
        <v>275329</v>
      </c>
      <c r="BJ134" s="57">
        <v>300722</v>
      </c>
      <c r="BK134" s="57">
        <v>298504</v>
      </c>
      <c r="BL134" s="57">
        <v>301238</v>
      </c>
      <c r="BM134" s="57">
        <v>273759</v>
      </c>
      <c r="BN134" s="57">
        <v>290960</v>
      </c>
      <c r="BO134" s="57">
        <v>287186</v>
      </c>
      <c r="BP134" s="57">
        <v>292658</v>
      </c>
      <c r="BQ134" s="57">
        <v>284224</v>
      </c>
      <c r="BR134" s="57">
        <v>266000</v>
      </c>
      <c r="BS134" s="57">
        <v>238692</v>
      </c>
      <c r="BT134" s="57">
        <v>280125</v>
      </c>
      <c r="BU134" s="57">
        <v>272284</v>
      </c>
      <c r="BV134" s="57">
        <v>291806</v>
      </c>
      <c r="BW134" s="57">
        <v>247541</v>
      </c>
      <c r="BX134" s="57">
        <v>239347</v>
      </c>
      <c r="BY134" s="57">
        <v>225732</v>
      </c>
      <c r="BZ134" s="57">
        <v>200790</v>
      </c>
      <c r="CA134" s="57">
        <v>196524</v>
      </c>
      <c r="CB134" s="57">
        <v>223317</v>
      </c>
      <c r="CC134" s="57">
        <v>285027</v>
      </c>
      <c r="CD134" s="57">
        <v>263773</v>
      </c>
      <c r="CE134" s="57">
        <v>235786</v>
      </c>
      <c r="CF134" s="57">
        <v>262714</v>
      </c>
      <c r="CG134" s="57">
        <v>251516</v>
      </c>
      <c r="CH134" s="57">
        <v>143014</v>
      </c>
      <c r="CI134" s="57">
        <v>0</v>
      </c>
      <c r="CJ134" s="57">
        <v>37058</v>
      </c>
      <c r="CK134" s="57">
        <v>116676</v>
      </c>
      <c r="CL134" s="57">
        <v>182779</v>
      </c>
      <c r="CM134" s="57">
        <v>215916</v>
      </c>
      <c r="CN134" s="57">
        <v>294542</v>
      </c>
      <c r="CO134" s="57">
        <v>310294</v>
      </c>
      <c r="CP134" s="57">
        <v>264898</v>
      </c>
      <c r="CQ134" s="57">
        <v>272166</v>
      </c>
      <c r="CR134" s="57">
        <v>276554</v>
      </c>
      <c r="CS134" s="57">
        <v>281380</v>
      </c>
      <c r="CT134" s="57">
        <v>290939</v>
      </c>
      <c r="CU134" s="57">
        <v>261633</v>
      </c>
      <c r="CV134" s="57">
        <v>88045</v>
      </c>
      <c r="CW134" s="57">
        <v>257517</v>
      </c>
      <c r="CX134" s="57">
        <v>264442</v>
      </c>
      <c r="CY134" s="57">
        <v>232224</v>
      </c>
      <c r="CZ134" s="57">
        <v>244776</v>
      </c>
      <c r="DA134" s="57">
        <v>226353</v>
      </c>
      <c r="DB134" s="57">
        <v>215626</v>
      </c>
      <c r="DC134" s="57">
        <v>252505</v>
      </c>
    </row>
    <row r="135" spans="1:107" ht="12" customHeight="1" x14ac:dyDescent="0.25">
      <c r="A135" s="54" t="s">
        <v>10</v>
      </c>
      <c r="B135" s="57">
        <v>38510</v>
      </c>
      <c r="C135" s="57">
        <v>43980</v>
      </c>
      <c r="D135" s="57">
        <v>69897</v>
      </c>
      <c r="E135" s="57">
        <v>76562</v>
      </c>
      <c r="F135" s="57">
        <v>69540</v>
      </c>
      <c r="G135" s="57">
        <v>69473</v>
      </c>
      <c r="H135" s="57">
        <v>65666</v>
      </c>
      <c r="I135" s="57">
        <f>655927-592594</f>
        <v>63333</v>
      </c>
      <c r="J135" s="57">
        <v>56911</v>
      </c>
      <c r="K135" s="57">
        <v>42164</v>
      </c>
      <c r="L135" s="57">
        <v>36197</v>
      </c>
      <c r="M135" s="57">
        <v>40309</v>
      </c>
      <c r="N135" s="57">
        <v>65149</v>
      </c>
      <c r="O135" s="57">
        <v>76419</v>
      </c>
      <c r="P135" s="57">
        <v>84536</v>
      </c>
      <c r="Q135" s="57">
        <v>76734</v>
      </c>
      <c r="R135" s="57">
        <v>73845</v>
      </c>
      <c r="S135" s="57">
        <v>70939</v>
      </c>
      <c r="T135" s="57">
        <v>66612</v>
      </c>
      <c r="U135" s="57">
        <v>64940</v>
      </c>
      <c r="V135" s="57">
        <v>53868</v>
      </c>
      <c r="W135" s="57">
        <v>48002</v>
      </c>
      <c r="X135" s="57">
        <v>35170</v>
      </c>
      <c r="Y135" s="57">
        <v>40586</v>
      </c>
      <c r="Z135" s="57">
        <v>62989</v>
      </c>
      <c r="AA135" s="57">
        <v>78643</v>
      </c>
      <c r="AB135" s="57">
        <v>63058</v>
      </c>
      <c r="AC135" s="57">
        <v>68457</v>
      </c>
      <c r="AD135" s="57">
        <v>66260</v>
      </c>
      <c r="AE135" s="57">
        <v>64622</v>
      </c>
      <c r="AF135" s="57">
        <v>62980</v>
      </c>
      <c r="AG135" s="57">
        <v>58711</v>
      </c>
      <c r="AH135" s="57">
        <v>50306</v>
      </c>
      <c r="AI135" s="57">
        <v>43857</v>
      </c>
      <c r="AJ135" s="57">
        <v>33823</v>
      </c>
      <c r="AK135" s="57">
        <v>38950</v>
      </c>
      <c r="AL135" s="57">
        <v>61729</v>
      </c>
      <c r="AM135" s="57">
        <v>72574</v>
      </c>
      <c r="AN135" s="57">
        <v>73011</v>
      </c>
      <c r="AO135" s="57">
        <v>66494</v>
      </c>
      <c r="AP135" s="57">
        <v>59225</v>
      </c>
      <c r="AQ135" s="57">
        <v>58645</v>
      </c>
      <c r="AR135" s="57">
        <v>58182</v>
      </c>
      <c r="AS135" s="57">
        <v>49345</v>
      </c>
      <c r="AT135" s="57">
        <v>48945</v>
      </c>
      <c r="AU135" s="57">
        <v>37028</v>
      </c>
      <c r="AV135" s="57">
        <v>32212</v>
      </c>
      <c r="AW135" s="57">
        <v>38167</v>
      </c>
      <c r="AX135" s="57">
        <v>61557</v>
      </c>
      <c r="AY135" s="57">
        <v>66291</v>
      </c>
      <c r="AZ135" s="57">
        <v>75178</v>
      </c>
      <c r="BA135" s="57">
        <v>66150</v>
      </c>
      <c r="BB135" s="57">
        <v>58231</v>
      </c>
      <c r="BC135" s="57">
        <v>59386</v>
      </c>
      <c r="BD135" s="57">
        <v>56757</v>
      </c>
      <c r="BE135" s="57">
        <v>48797</v>
      </c>
      <c r="BF135" s="57">
        <v>44410</v>
      </c>
      <c r="BG135" s="57">
        <v>32687</v>
      </c>
      <c r="BH135" s="57">
        <v>31375</v>
      </c>
      <c r="BI135" s="57">
        <v>35879</v>
      </c>
      <c r="BJ135" s="57">
        <v>53932</v>
      </c>
      <c r="BK135" s="57">
        <v>57907</v>
      </c>
      <c r="BL135" s="57">
        <v>68707</v>
      </c>
      <c r="BM135" s="57">
        <v>61153</v>
      </c>
      <c r="BN135" s="57">
        <v>53365</v>
      </c>
      <c r="BO135" s="57">
        <v>52923</v>
      </c>
      <c r="BP135" s="57">
        <v>49278</v>
      </c>
      <c r="BQ135" s="57">
        <v>45437</v>
      </c>
      <c r="BR135" s="57">
        <v>39031</v>
      </c>
      <c r="BS135" s="57">
        <v>28724</v>
      </c>
      <c r="BT135" s="57">
        <v>27084</v>
      </c>
      <c r="BU135" s="57">
        <v>30124</v>
      </c>
      <c r="BV135" s="57">
        <v>49576</v>
      </c>
      <c r="BW135" s="57">
        <v>47902</v>
      </c>
      <c r="BX135" s="57">
        <v>61966</v>
      </c>
      <c r="BY135" s="57">
        <v>48116</v>
      </c>
      <c r="BZ135" s="57">
        <v>44122</v>
      </c>
      <c r="CA135" s="57">
        <v>41058</v>
      </c>
      <c r="CB135" s="57">
        <v>40401</v>
      </c>
      <c r="CC135" s="57">
        <v>38704</v>
      </c>
      <c r="CD135" s="57">
        <v>31774</v>
      </c>
      <c r="CE135" s="57">
        <v>23860</v>
      </c>
      <c r="CF135" s="57">
        <v>26245</v>
      </c>
      <c r="CG135" s="57">
        <v>27658</v>
      </c>
      <c r="CH135" s="57">
        <v>19053</v>
      </c>
      <c r="CI135" s="57">
        <v>9167</v>
      </c>
      <c r="CJ135" s="57">
        <v>26077</v>
      </c>
      <c r="CK135" s="57">
        <v>27479</v>
      </c>
      <c r="CL135" s="57">
        <v>34890</v>
      </c>
      <c r="CM135" s="57">
        <v>36521</v>
      </c>
      <c r="CN135" s="57">
        <v>30187</v>
      </c>
      <c r="CO135" s="57">
        <v>32772</v>
      </c>
      <c r="CP135" s="57">
        <v>26795</v>
      </c>
      <c r="CQ135" s="57">
        <v>21507</v>
      </c>
      <c r="CR135" s="57">
        <v>15685</v>
      </c>
      <c r="CS135" s="57">
        <v>18416</v>
      </c>
      <c r="CT135" s="57">
        <v>31201</v>
      </c>
      <c r="CU135" s="57">
        <v>29610</v>
      </c>
      <c r="CV135" s="57">
        <v>32931</v>
      </c>
      <c r="CW135" s="57">
        <v>32479</v>
      </c>
      <c r="CX135" s="57">
        <v>32184</v>
      </c>
      <c r="CY135" s="57">
        <v>30244</v>
      </c>
      <c r="CZ135" s="57">
        <v>31973</v>
      </c>
      <c r="DA135" s="57">
        <v>25873</v>
      </c>
      <c r="DB135" s="57">
        <v>21247</v>
      </c>
      <c r="DC135" s="57">
        <v>15478</v>
      </c>
    </row>
    <row r="136" spans="1:107" ht="12" customHeight="1" x14ac:dyDescent="0.25">
      <c r="A136" s="54" t="s">
        <v>11</v>
      </c>
      <c r="B136" s="57">
        <v>56603</v>
      </c>
      <c r="C136" s="57">
        <v>54174</v>
      </c>
      <c r="D136" s="57">
        <v>56594</v>
      </c>
      <c r="E136" s="57">
        <v>56038</v>
      </c>
      <c r="F136" s="57">
        <v>56640</v>
      </c>
      <c r="G136" s="57">
        <v>57079</v>
      </c>
      <c r="H136" s="57">
        <v>50732</v>
      </c>
      <c r="I136" s="57">
        <f>557670-501434</f>
        <v>56236</v>
      </c>
      <c r="J136" s="57">
        <v>64486</v>
      </c>
      <c r="K136" s="57">
        <v>76061</v>
      </c>
      <c r="L136" s="57">
        <v>55905</v>
      </c>
      <c r="M136" s="57">
        <v>51816</v>
      </c>
      <c r="N136" s="57">
        <v>55583</v>
      </c>
      <c r="O136" s="57">
        <v>50365</v>
      </c>
      <c r="P136" s="57">
        <v>58738</v>
      </c>
      <c r="Q136" s="57">
        <v>55785</v>
      </c>
      <c r="R136" s="57">
        <v>65574</v>
      </c>
      <c r="S136" s="57">
        <v>68611</v>
      </c>
      <c r="T136" s="57">
        <v>58107</v>
      </c>
      <c r="U136" s="57">
        <v>65434</v>
      </c>
      <c r="V136" s="57">
        <v>72236</v>
      </c>
      <c r="W136" s="57">
        <v>87096</v>
      </c>
      <c r="X136" s="57">
        <v>70021</v>
      </c>
      <c r="Y136" s="57">
        <v>66031</v>
      </c>
      <c r="Z136" s="57">
        <v>69336</v>
      </c>
      <c r="AA136" s="57">
        <v>63737</v>
      </c>
      <c r="AB136" s="57">
        <v>67779</v>
      </c>
      <c r="AC136" s="57">
        <v>71369</v>
      </c>
      <c r="AD136" s="57">
        <v>75209</v>
      </c>
      <c r="AE136" s="57">
        <v>76694</v>
      </c>
      <c r="AF136" s="57">
        <v>73178</v>
      </c>
      <c r="AG136" s="57">
        <v>76884</v>
      </c>
      <c r="AH136" s="57">
        <v>81714</v>
      </c>
      <c r="AI136" s="57">
        <v>100242</v>
      </c>
      <c r="AJ136" s="57">
        <v>76830</v>
      </c>
      <c r="AK136" s="57">
        <v>72198</v>
      </c>
      <c r="AL136" s="57">
        <v>76397</v>
      </c>
      <c r="AM136" s="57">
        <v>78035</v>
      </c>
      <c r="AN136" s="57">
        <v>79734</v>
      </c>
      <c r="AO136" s="57">
        <v>90994</v>
      </c>
      <c r="AP136" s="57">
        <v>91290</v>
      </c>
      <c r="AQ136" s="57">
        <v>93723</v>
      </c>
      <c r="AR136" s="57">
        <v>88491</v>
      </c>
      <c r="AS136" s="57">
        <v>87881</v>
      </c>
      <c r="AT136" s="57">
        <v>102695</v>
      </c>
      <c r="AU136" s="57">
        <v>127644</v>
      </c>
      <c r="AV136" s="57">
        <v>81700</v>
      </c>
      <c r="AW136" s="57">
        <v>79052</v>
      </c>
      <c r="AX136" s="57">
        <v>89396</v>
      </c>
      <c r="AY136" s="57">
        <v>72778</v>
      </c>
      <c r="AZ136" s="57">
        <v>78152</v>
      </c>
      <c r="BA136" s="57">
        <v>83324</v>
      </c>
      <c r="BB136" s="57">
        <v>78966</v>
      </c>
      <c r="BC136" s="57">
        <v>79857</v>
      </c>
      <c r="BD136" s="57">
        <v>73201</v>
      </c>
      <c r="BE136" s="57">
        <v>76576</v>
      </c>
      <c r="BF136" s="57">
        <v>91668</v>
      </c>
      <c r="BG136" s="57">
        <v>99411</v>
      </c>
      <c r="BH136" s="57">
        <v>67083</v>
      </c>
      <c r="BI136" s="57">
        <v>68967</v>
      </c>
      <c r="BJ136" s="57">
        <v>74643</v>
      </c>
      <c r="BK136" s="57">
        <v>68606</v>
      </c>
      <c r="BL136" s="57">
        <v>69412</v>
      </c>
      <c r="BM136" s="57">
        <v>73239</v>
      </c>
      <c r="BN136" s="57">
        <v>72335</v>
      </c>
      <c r="BO136" s="57">
        <v>75127</v>
      </c>
      <c r="BP136" s="57">
        <v>70912</v>
      </c>
      <c r="BQ136" s="57">
        <v>70427</v>
      </c>
      <c r="BR136" s="57">
        <v>81542</v>
      </c>
      <c r="BS136" s="57">
        <v>86495</v>
      </c>
      <c r="BT136" s="57">
        <v>68254</v>
      </c>
      <c r="BU136" s="57">
        <v>61448</v>
      </c>
      <c r="BV136" s="57">
        <v>67680</v>
      </c>
      <c r="BW136" s="57">
        <v>56387</v>
      </c>
      <c r="BX136" s="57">
        <v>59524</v>
      </c>
      <c r="BY136" s="57">
        <v>63912</v>
      </c>
      <c r="BZ136" s="57">
        <v>62669</v>
      </c>
      <c r="CA136" s="57">
        <v>63059</v>
      </c>
      <c r="CB136" s="57">
        <v>58027</v>
      </c>
      <c r="CC136" s="57">
        <v>62538</v>
      </c>
      <c r="CD136" s="57">
        <v>70607</v>
      </c>
      <c r="CE136" s="57">
        <v>81489</v>
      </c>
      <c r="CF136" s="57">
        <v>62231</v>
      </c>
      <c r="CG136" s="57">
        <v>62513</v>
      </c>
      <c r="CH136" s="57">
        <v>48998</v>
      </c>
      <c r="CI136" s="57">
        <v>18772</v>
      </c>
      <c r="CJ136" s="57">
        <v>22103</v>
      </c>
      <c r="CK136" s="57">
        <v>35333</v>
      </c>
      <c r="CL136" s="57">
        <v>41621</v>
      </c>
      <c r="CM136" s="57">
        <v>44422</v>
      </c>
      <c r="CN136" s="57">
        <v>43223</v>
      </c>
      <c r="CO136" s="57">
        <v>45630</v>
      </c>
      <c r="CP136" s="57">
        <v>53301</v>
      </c>
      <c r="CQ136" s="57">
        <v>57242</v>
      </c>
      <c r="CR136" s="57">
        <v>43092</v>
      </c>
      <c r="CS136" s="57">
        <v>42948</v>
      </c>
      <c r="CT136" s="57">
        <v>51666</v>
      </c>
      <c r="CU136" s="57">
        <v>44976</v>
      </c>
      <c r="CV136" s="57">
        <v>45770</v>
      </c>
      <c r="CW136" s="57">
        <v>45359</v>
      </c>
      <c r="CX136" s="57">
        <v>41250</v>
      </c>
      <c r="CY136" s="57">
        <v>40533</v>
      </c>
      <c r="CZ136" s="57">
        <v>38569</v>
      </c>
      <c r="DA136" s="57">
        <v>39362</v>
      </c>
      <c r="DB136" s="57">
        <v>39085</v>
      </c>
      <c r="DC136" s="57">
        <v>45296</v>
      </c>
    </row>
    <row r="137" spans="1:107" ht="12" customHeight="1" x14ac:dyDescent="0.25">
      <c r="A137" s="54" t="s">
        <v>29</v>
      </c>
      <c r="B137" s="57">
        <v>52697</v>
      </c>
      <c r="C137" s="57">
        <v>48170</v>
      </c>
      <c r="D137" s="57">
        <v>58647</v>
      </c>
      <c r="E137" s="57">
        <v>61398</v>
      </c>
      <c r="F137" s="57">
        <v>66879</v>
      </c>
      <c r="G137" s="57">
        <v>62985</v>
      </c>
      <c r="H137" s="57">
        <v>64322</v>
      </c>
      <c r="I137" s="57">
        <v>66869</v>
      </c>
      <c r="J137" s="57">
        <v>46186</v>
      </c>
      <c r="K137" s="57">
        <v>76187</v>
      </c>
      <c r="L137" s="57">
        <v>85792</v>
      </c>
      <c r="M137" s="57">
        <v>45296</v>
      </c>
      <c r="N137" s="57">
        <v>39705</v>
      </c>
      <c r="O137" s="57">
        <v>41089</v>
      </c>
      <c r="P137" s="57">
        <v>43682</v>
      </c>
      <c r="Q137" s="57">
        <v>40773</v>
      </c>
      <c r="R137" s="57">
        <v>47568</v>
      </c>
      <c r="S137" s="57">
        <v>45773</v>
      </c>
      <c r="T137" s="57">
        <v>45072</v>
      </c>
      <c r="U137" s="57">
        <v>40057</v>
      </c>
      <c r="V137" s="57">
        <v>28657</v>
      </c>
      <c r="W137" s="57">
        <v>21437</v>
      </c>
      <c r="X137" s="57">
        <v>46272</v>
      </c>
      <c r="Y137" s="57">
        <v>28314</v>
      </c>
      <c r="Z137" s="57">
        <v>33284</v>
      </c>
      <c r="AA137" s="57">
        <v>35541</v>
      </c>
      <c r="AB137" s="57">
        <v>34731</v>
      </c>
      <c r="AC137" s="57">
        <v>41798</v>
      </c>
      <c r="AD137" s="57">
        <v>44817</v>
      </c>
      <c r="AE137" s="57">
        <v>40859</v>
      </c>
      <c r="AF137" s="57">
        <v>49023</v>
      </c>
      <c r="AG137" s="57">
        <v>44305</v>
      </c>
      <c r="AH137" s="57">
        <v>37316</v>
      </c>
      <c r="AI137" s="57">
        <v>48852</v>
      </c>
      <c r="AJ137" s="57">
        <v>41023</v>
      </c>
      <c r="AK137" s="57">
        <v>36788</v>
      </c>
      <c r="AL137" s="57">
        <v>40052</v>
      </c>
      <c r="AM137" s="57">
        <v>44370</v>
      </c>
      <c r="AN137" s="57">
        <v>44184</v>
      </c>
      <c r="AO137" s="57">
        <v>38210</v>
      </c>
      <c r="AP137" s="57">
        <v>48209</v>
      </c>
      <c r="AQ137" s="57">
        <v>45000</v>
      </c>
      <c r="AR137" s="57">
        <v>52254</v>
      </c>
      <c r="AS137" s="57">
        <v>55077</v>
      </c>
      <c r="AT137" s="57">
        <v>41938</v>
      </c>
      <c r="AU137" s="57">
        <v>38652</v>
      </c>
      <c r="AV137" s="57">
        <v>68485</v>
      </c>
      <c r="AW137" s="57">
        <v>42320</v>
      </c>
      <c r="AX137" s="57">
        <v>57054</v>
      </c>
      <c r="AY137" s="57">
        <f>48000+5967</f>
        <v>53967</v>
      </c>
      <c r="AZ137" s="57">
        <v>55585</v>
      </c>
      <c r="BA137" s="57">
        <f>46980+10737</f>
        <v>57717</v>
      </c>
      <c r="BB137" s="57">
        <v>57375</v>
      </c>
      <c r="BC137" s="57">
        <v>62066</v>
      </c>
      <c r="BD137" s="57">
        <v>62093</v>
      </c>
      <c r="BE137" s="57">
        <v>58018</v>
      </c>
      <c r="BF137" s="57">
        <v>53514</v>
      </c>
      <c r="BG137" s="57">
        <v>35338</v>
      </c>
      <c r="BH137" s="57">
        <v>69486</v>
      </c>
      <c r="BI137" s="57">
        <v>52228</v>
      </c>
      <c r="BJ137" s="57">
        <v>65504</v>
      </c>
      <c r="BK137" s="57">
        <v>58727</v>
      </c>
      <c r="BL137" s="57">
        <v>63094</v>
      </c>
      <c r="BM137" s="57">
        <v>48779</v>
      </c>
      <c r="BN137" s="57">
        <v>55887</v>
      </c>
      <c r="BO137" s="57">
        <v>49693</v>
      </c>
      <c r="BP137" s="57">
        <v>39951</v>
      </c>
      <c r="BQ137" s="57">
        <v>36524</v>
      </c>
      <c r="BR137" s="57">
        <v>29105</v>
      </c>
      <c r="BS137" s="57">
        <v>21508</v>
      </c>
      <c r="BT137" s="57">
        <v>44969</v>
      </c>
      <c r="BU137" s="57">
        <v>29465</v>
      </c>
      <c r="BV137" s="57">
        <v>29062</v>
      </c>
      <c r="BW137" s="57">
        <v>26889</v>
      </c>
      <c r="BX137" s="57">
        <v>23488</v>
      </c>
      <c r="BY137" s="57">
        <v>26845</v>
      </c>
      <c r="BZ137" s="57">
        <v>38018</v>
      </c>
      <c r="CA137" s="57">
        <v>34026</v>
      </c>
      <c r="CB137" s="57">
        <v>31663</v>
      </c>
      <c r="CC137" s="57">
        <v>22265</v>
      </c>
      <c r="CD137" s="57">
        <v>17594</v>
      </c>
      <c r="CE137" s="57">
        <v>8978</v>
      </c>
      <c r="CF137" s="57">
        <v>31634</v>
      </c>
      <c r="CG137" s="57">
        <v>19539</v>
      </c>
      <c r="CH137" s="57">
        <v>12718</v>
      </c>
      <c r="CI137" s="57">
        <v>2451</v>
      </c>
      <c r="CJ137" s="57">
        <v>12735</v>
      </c>
      <c r="CK137" s="57">
        <v>25670</v>
      </c>
      <c r="CL137" s="57">
        <v>19789</v>
      </c>
      <c r="CM137" s="57">
        <v>19556</v>
      </c>
      <c r="CN137" s="57">
        <v>23057</v>
      </c>
      <c r="CO137" s="57">
        <v>27437</v>
      </c>
      <c r="CP137" s="57">
        <v>23570</v>
      </c>
      <c r="CQ137" s="57">
        <v>13972</v>
      </c>
      <c r="CR137" s="57">
        <v>33953</v>
      </c>
      <c r="CS137" s="57">
        <v>20226</v>
      </c>
      <c r="CT137" s="57">
        <v>24265</v>
      </c>
      <c r="CU137" s="57">
        <v>20443</v>
      </c>
      <c r="CV137" s="57">
        <v>14118</v>
      </c>
      <c r="CW137" s="57">
        <v>23148</v>
      </c>
      <c r="CX137" s="57">
        <v>20316</v>
      </c>
      <c r="CY137" s="57">
        <v>20723</v>
      </c>
      <c r="CZ137" s="57">
        <v>19001</v>
      </c>
      <c r="DA137" s="57">
        <v>16245</v>
      </c>
      <c r="DB137" s="57">
        <v>16478</v>
      </c>
      <c r="DC137" s="57">
        <v>10488</v>
      </c>
    </row>
    <row r="138" spans="1:107" ht="12" customHeight="1" x14ac:dyDescent="0.25">
      <c r="A138" s="54" t="s">
        <v>28</v>
      </c>
      <c r="B138" s="57">
        <v>68580</v>
      </c>
      <c r="C138" s="57">
        <v>63338</v>
      </c>
      <c r="D138" s="57">
        <v>77812</v>
      </c>
      <c r="E138" s="57">
        <v>67228</v>
      </c>
      <c r="F138" s="57">
        <v>71886</v>
      </c>
      <c r="G138" s="57">
        <v>75575</v>
      </c>
      <c r="H138" s="57">
        <v>73348</v>
      </c>
      <c r="I138" s="57">
        <f>738924-665727</f>
        <v>73197</v>
      </c>
      <c r="J138" s="57">
        <v>77978</v>
      </c>
      <c r="K138" s="57">
        <v>91559</v>
      </c>
      <c r="L138" s="57">
        <v>67494</v>
      </c>
      <c r="M138" s="57">
        <v>69518</v>
      </c>
      <c r="N138" s="57">
        <v>77857</v>
      </c>
      <c r="O138" s="57">
        <v>64377</v>
      </c>
      <c r="P138" s="57">
        <v>74549</v>
      </c>
      <c r="Q138" s="57">
        <v>90690</v>
      </c>
      <c r="R138" s="57">
        <v>72269</v>
      </c>
      <c r="S138" s="57">
        <v>70201</v>
      </c>
      <c r="T138" s="57">
        <v>75221</v>
      </c>
      <c r="U138" s="57">
        <v>71961</v>
      </c>
      <c r="V138" s="57">
        <v>74095</v>
      </c>
      <c r="W138" s="57">
        <v>75717</v>
      </c>
      <c r="X138" s="57">
        <v>67478</v>
      </c>
      <c r="Y138" s="57">
        <v>72814</v>
      </c>
      <c r="Z138" s="57">
        <v>83688</v>
      </c>
      <c r="AA138" s="57">
        <v>64679</v>
      </c>
      <c r="AB138" s="57">
        <v>73122</v>
      </c>
      <c r="AC138" s="57">
        <v>98642</v>
      </c>
      <c r="AD138" s="57">
        <v>74099</v>
      </c>
      <c r="AE138" s="57">
        <v>73573</v>
      </c>
      <c r="AF138" s="57">
        <v>83052</v>
      </c>
      <c r="AG138" s="57">
        <v>75600</v>
      </c>
      <c r="AH138" s="57">
        <v>77796</v>
      </c>
      <c r="AI138" s="57">
        <v>79611</v>
      </c>
      <c r="AJ138" s="57">
        <v>68287</v>
      </c>
      <c r="AK138" s="57">
        <v>76423</v>
      </c>
      <c r="AL138" s="57">
        <v>82029</v>
      </c>
      <c r="AM138" s="57">
        <v>68454</v>
      </c>
      <c r="AN138" s="57">
        <v>74452</v>
      </c>
      <c r="AO138" s="57">
        <v>99843</v>
      </c>
      <c r="AP138" s="57">
        <v>71850</v>
      </c>
      <c r="AQ138" s="57">
        <v>75341</v>
      </c>
      <c r="AR138" s="57">
        <v>81573</v>
      </c>
      <c r="AS138" s="57">
        <v>74319</v>
      </c>
      <c r="AT138" s="57">
        <v>77388</v>
      </c>
      <c r="AU138" s="57">
        <v>77315</v>
      </c>
      <c r="AV138" s="57">
        <v>69047</v>
      </c>
      <c r="AW138" s="57">
        <v>70237</v>
      </c>
      <c r="AX138" s="57">
        <v>80456</v>
      </c>
      <c r="AY138" s="57">
        <v>63515</v>
      </c>
      <c r="AZ138" s="57">
        <v>78471</v>
      </c>
      <c r="BA138" s="57">
        <v>102039</v>
      </c>
      <c r="BB138" s="57">
        <f>35792+36979</f>
        <v>72771</v>
      </c>
      <c r="BC138" s="57">
        <v>73851</v>
      </c>
      <c r="BD138" s="57">
        <v>70973</v>
      </c>
      <c r="BE138" s="57">
        <v>73267</v>
      </c>
      <c r="BF138" s="57">
        <v>77677</v>
      </c>
      <c r="BG138" s="57">
        <v>77177</v>
      </c>
      <c r="BH138" s="57">
        <v>69749</v>
      </c>
      <c r="BI138" s="57">
        <v>74290</v>
      </c>
      <c r="BJ138" s="57">
        <v>81645</v>
      </c>
      <c r="BK138" s="57">
        <v>63692</v>
      </c>
      <c r="BL138" s="57">
        <v>75759</v>
      </c>
      <c r="BM138" s="57">
        <v>97723</v>
      </c>
      <c r="BN138" s="57">
        <v>65172</v>
      </c>
      <c r="BO138" s="57">
        <v>72211</v>
      </c>
      <c r="BP138" s="57">
        <v>71907</v>
      </c>
      <c r="BQ138" s="57">
        <v>67651</v>
      </c>
      <c r="BR138" s="57">
        <v>69233</v>
      </c>
      <c r="BS138" s="57">
        <v>64681</v>
      </c>
      <c r="BT138" s="57">
        <v>63990</v>
      </c>
      <c r="BU138" s="57">
        <v>64443</v>
      </c>
      <c r="BV138" s="57">
        <v>74659</v>
      </c>
      <c r="BW138" s="57">
        <v>57006</v>
      </c>
      <c r="BX138" s="57">
        <v>69827</v>
      </c>
      <c r="BY138" s="57">
        <v>87373</v>
      </c>
      <c r="BZ138" s="57">
        <v>63280</v>
      </c>
      <c r="CA138" s="57">
        <v>64823</v>
      </c>
      <c r="CB138" s="57">
        <v>66754</v>
      </c>
      <c r="CC138" s="57">
        <v>62201</v>
      </c>
      <c r="CD138" s="57">
        <v>62563</v>
      </c>
      <c r="CE138" s="57">
        <v>62344</v>
      </c>
      <c r="CF138" s="57">
        <v>55887</v>
      </c>
      <c r="CG138" s="57">
        <v>61952</v>
      </c>
      <c r="CH138" s="57">
        <v>60948</v>
      </c>
      <c r="CI138" s="57">
        <v>27180</v>
      </c>
      <c r="CJ138" s="57">
        <v>42488</v>
      </c>
      <c r="CK138" s="57">
        <v>76967</v>
      </c>
      <c r="CL138" s="57">
        <v>54709</v>
      </c>
      <c r="CM138" s="57">
        <v>47136</v>
      </c>
      <c r="CN138" s="57">
        <v>50345</v>
      </c>
      <c r="CO138" s="57">
        <v>59014</v>
      </c>
      <c r="CP138" s="57">
        <v>70727</v>
      </c>
      <c r="CQ138" s="57">
        <v>69451</v>
      </c>
      <c r="CR138" s="57">
        <v>60134</v>
      </c>
      <c r="CS138" s="57">
        <v>61845</v>
      </c>
      <c r="CT138" s="57">
        <v>73065</v>
      </c>
      <c r="CU138" s="57">
        <v>67240</v>
      </c>
      <c r="CV138" s="57">
        <v>73823</v>
      </c>
      <c r="CW138" s="57">
        <v>77122</v>
      </c>
      <c r="CX138" s="57">
        <v>59639</v>
      </c>
      <c r="CY138" s="57">
        <v>58320</v>
      </c>
      <c r="CZ138" s="57">
        <v>59363</v>
      </c>
      <c r="DA138" s="57">
        <v>51295</v>
      </c>
      <c r="DB138" s="57">
        <v>56565</v>
      </c>
      <c r="DC138" s="57">
        <v>54845</v>
      </c>
    </row>
    <row r="139" spans="1:107" ht="12" customHeight="1" x14ac:dyDescent="0.25">
      <c r="A139" s="59" t="s">
        <v>68</v>
      </c>
      <c r="B139" s="60">
        <f t="shared" ref="B139:K139" si="0">SUM(B102:B138)</f>
        <v>4501780</v>
      </c>
      <c r="C139" s="60">
        <f t="shared" si="0"/>
        <v>3936176</v>
      </c>
      <c r="D139" s="60">
        <f t="shared" si="0"/>
        <v>5437142</v>
      </c>
      <c r="E139" s="60">
        <f t="shared" si="0"/>
        <v>4646223</v>
      </c>
      <c r="F139" s="60">
        <f t="shared" si="0"/>
        <v>4422421</v>
      </c>
      <c r="G139" s="60">
        <f t="shared" si="0"/>
        <v>4205708</v>
      </c>
      <c r="H139" s="60">
        <f t="shared" si="0"/>
        <v>4909133</v>
      </c>
      <c r="I139" s="60">
        <f t="shared" si="0"/>
        <v>4792204</v>
      </c>
      <c r="J139" s="60">
        <f t="shared" si="0"/>
        <v>4748757</v>
      </c>
      <c r="K139" s="60">
        <f t="shared" si="0"/>
        <v>4889333</v>
      </c>
      <c r="L139" s="60">
        <f t="shared" ref="L139:BF139" si="1">SUM(L102:L138)</f>
        <v>4725617</v>
      </c>
      <c r="M139" s="60">
        <f t="shared" si="1"/>
        <v>4235855</v>
      </c>
      <c r="N139" s="60">
        <f t="shared" si="1"/>
        <v>5688673</v>
      </c>
      <c r="O139" s="60">
        <f t="shared" si="1"/>
        <v>4744810</v>
      </c>
      <c r="P139" s="60">
        <f t="shared" si="1"/>
        <v>4868578</v>
      </c>
      <c r="Q139" s="60">
        <f t="shared" si="1"/>
        <v>4919650</v>
      </c>
      <c r="R139" s="60">
        <f t="shared" si="1"/>
        <v>4544961</v>
      </c>
      <c r="S139" s="60">
        <f t="shared" si="1"/>
        <v>4207177</v>
      </c>
      <c r="T139" s="60">
        <f t="shared" si="1"/>
        <v>5027209</v>
      </c>
      <c r="U139" s="60">
        <f t="shared" si="1"/>
        <v>4809666</v>
      </c>
      <c r="V139" s="60">
        <f t="shared" si="1"/>
        <v>4776800</v>
      </c>
      <c r="W139" s="60">
        <f t="shared" si="1"/>
        <v>5249253</v>
      </c>
      <c r="X139" s="60">
        <f t="shared" si="1"/>
        <v>4818232</v>
      </c>
      <c r="Y139" s="60">
        <f t="shared" si="1"/>
        <v>4217535</v>
      </c>
      <c r="Z139" s="60">
        <f t="shared" si="1"/>
        <v>5851064</v>
      </c>
      <c r="AA139" s="60">
        <f t="shared" si="1"/>
        <v>4779493</v>
      </c>
      <c r="AB139" s="60">
        <f t="shared" si="1"/>
        <v>4746545</v>
      </c>
      <c r="AC139" s="60">
        <f t="shared" si="1"/>
        <v>4986230</v>
      </c>
      <c r="AD139" s="60">
        <f t="shared" si="1"/>
        <v>4478895</v>
      </c>
      <c r="AE139" s="60">
        <f t="shared" si="1"/>
        <v>4136167</v>
      </c>
      <c r="AF139" s="60">
        <f t="shared" si="1"/>
        <v>5156557</v>
      </c>
      <c r="AG139" s="60">
        <f t="shared" si="1"/>
        <v>5024909</v>
      </c>
      <c r="AH139" s="60">
        <f t="shared" si="1"/>
        <v>5170878</v>
      </c>
      <c r="AI139" s="60">
        <f t="shared" si="1"/>
        <v>5668612</v>
      </c>
      <c r="AJ139" s="60">
        <f t="shared" si="1"/>
        <v>4929792</v>
      </c>
      <c r="AK139" s="60">
        <f t="shared" si="1"/>
        <v>4269956</v>
      </c>
      <c r="AL139" s="60">
        <f t="shared" si="1"/>
        <v>6027408</v>
      </c>
      <c r="AM139" s="60">
        <f t="shared" si="1"/>
        <v>4896056</v>
      </c>
      <c r="AN139" s="60">
        <f t="shared" si="1"/>
        <v>4998970</v>
      </c>
      <c r="AO139" s="60">
        <f t="shared" si="1"/>
        <v>5258106</v>
      </c>
      <c r="AP139" s="60">
        <f t="shared" si="1"/>
        <v>4672985</v>
      </c>
      <c r="AQ139" s="60">
        <f t="shared" si="1"/>
        <v>4457987</v>
      </c>
      <c r="AR139" s="60">
        <f t="shared" si="1"/>
        <v>5721018</v>
      </c>
      <c r="AS139" s="60">
        <f t="shared" si="1"/>
        <v>5289061</v>
      </c>
      <c r="AT139" s="60">
        <f t="shared" si="1"/>
        <v>5671477</v>
      </c>
      <c r="AU139" s="60">
        <f t="shared" si="1"/>
        <v>5981670</v>
      </c>
      <c r="AV139" s="60">
        <f t="shared" si="1"/>
        <v>5024463</v>
      </c>
      <c r="AW139" s="60">
        <f t="shared" si="1"/>
        <v>4504243</v>
      </c>
      <c r="AX139" s="60">
        <f t="shared" si="1"/>
        <v>6282658</v>
      </c>
      <c r="AY139" s="60">
        <f t="shared" si="1"/>
        <v>4781724</v>
      </c>
      <c r="AZ139" s="60">
        <f t="shared" si="1"/>
        <v>5089962</v>
      </c>
      <c r="BA139" s="60">
        <f t="shared" si="1"/>
        <v>5313908</v>
      </c>
      <c r="BB139" s="60">
        <f t="shared" si="1"/>
        <v>4815480</v>
      </c>
      <c r="BC139" s="60">
        <f t="shared" si="1"/>
        <v>4659354</v>
      </c>
      <c r="BD139" s="60">
        <f t="shared" si="1"/>
        <v>5860986</v>
      </c>
      <c r="BE139" s="60">
        <f t="shared" si="1"/>
        <v>5373893</v>
      </c>
      <c r="BF139" s="60">
        <f t="shared" si="1"/>
        <v>5719229</v>
      </c>
      <c r="BG139" s="60">
        <v>5621857</v>
      </c>
      <c r="BH139" s="60">
        <v>5366631</v>
      </c>
      <c r="BI139" s="60">
        <v>4374904</v>
      </c>
      <c r="BJ139" s="60">
        <v>6221827</v>
      </c>
      <c r="BK139" s="60">
        <v>5072583</v>
      </c>
      <c r="BL139" s="60">
        <v>5231906</v>
      </c>
      <c r="BM139" s="60">
        <v>5430573</v>
      </c>
      <c r="BN139" s="60">
        <v>4851261</v>
      </c>
      <c r="BO139" s="60">
        <v>4614650</v>
      </c>
      <c r="BP139" s="60">
        <v>5036830</v>
      </c>
      <c r="BQ139" s="60">
        <v>4968996</v>
      </c>
      <c r="BR139" s="60">
        <v>5133272</v>
      </c>
      <c r="BS139" s="60">
        <v>5100988</v>
      </c>
      <c r="BT139" s="60">
        <f>SUM(BT102:BT138)</f>
        <v>4835370</v>
      </c>
      <c r="BU139" s="60">
        <f t="shared" ref="BU139:CE139" si="2">SUM(BU102:BU138)</f>
        <v>4012723</v>
      </c>
      <c r="BV139" s="60">
        <f t="shared" si="2"/>
        <v>5809216</v>
      </c>
      <c r="BW139" s="60">
        <f t="shared" si="2"/>
        <v>4564091</v>
      </c>
      <c r="BX139" s="60">
        <f t="shared" si="2"/>
        <v>4734773</v>
      </c>
      <c r="BY139" s="60">
        <f t="shared" si="2"/>
        <v>4971061</v>
      </c>
      <c r="BZ139" s="60">
        <f t="shared" si="2"/>
        <v>4530982</v>
      </c>
      <c r="CA139" s="60">
        <f t="shared" si="2"/>
        <v>4403691</v>
      </c>
      <c r="CB139" s="60">
        <f t="shared" si="2"/>
        <v>4939310</v>
      </c>
      <c r="CC139" s="60">
        <f t="shared" si="2"/>
        <v>4787544</v>
      </c>
      <c r="CD139" s="60">
        <f t="shared" si="2"/>
        <v>4974635</v>
      </c>
      <c r="CE139" s="60">
        <f t="shared" si="2"/>
        <v>5227708</v>
      </c>
      <c r="CF139" s="60">
        <f t="shared" ref="CF139:CQ139" si="3">SUM(CF102:CF138)</f>
        <v>4795215</v>
      </c>
      <c r="CG139" s="60">
        <f t="shared" si="3"/>
        <v>3601059</v>
      </c>
      <c r="CH139" s="60">
        <f t="shared" si="3"/>
        <v>3907858</v>
      </c>
      <c r="CI139" s="60">
        <f t="shared" si="3"/>
        <v>2902109</v>
      </c>
      <c r="CJ139" s="60">
        <f t="shared" si="3"/>
        <v>3824298</v>
      </c>
      <c r="CK139" s="60">
        <f t="shared" si="3"/>
        <v>4801685</v>
      </c>
      <c r="CL139" s="60">
        <f t="shared" si="3"/>
        <v>5082388</v>
      </c>
      <c r="CM139" s="60">
        <f t="shared" si="3"/>
        <v>4797060</v>
      </c>
      <c r="CN139" s="60">
        <f t="shared" si="3"/>
        <v>5797286</v>
      </c>
      <c r="CO139" s="60">
        <f t="shared" si="3"/>
        <v>5720151</v>
      </c>
      <c r="CP139" s="60">
        <f t="shared" si="3"/>
        <v>5659709</v>
      </c>
      <c r="CQ139" s="60">
        <f t="shared" si="3"/>
        <v>6229786</v>
      </c>
      <c r="CR139" s="60">
        <v>4908641</v>
      </c>
      <c r="CS139" s="60">
        <v>4146110</v>
      </c>
      <c r="CT139" s="60">
        <v>5980354</v>
      </c>
      <c r="CU139" s="60">
        <v>5137689</v>
      </c>
      <c r="CV139" s="60">
        <v>5016338</v>
      </c>
      <c r="CW139" s="60">
        <v>5239140</v>
      </c>
      <c r="CX139" s="60">
        <v>4635669</v>
      </c>
      <c r="CY139" s="60">
        <v>4183436</v>
      </c>
      <c r="CZ139" s="60">
        <v>4575772</v>
      </c>
      <c r="DA139" s="60">
        <v>4718644</v>
      </c>
      <c r="DB139" s="60">
        <v>4909392</v>
      </c>
      <c r="DC139" s="60">
        <v>5540964</v>
      </c>
    </row>
    <row r="140" spans="1:107" ht="9.9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</row>
    <row r="141" spans="1:107" ht="9.9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</row>
    <row r="142" spans="1:107" ht="9.9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</row>
    <row r="143" spans="1:107" ht="9.9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</row>
    <row r="144" spans="1:107" ht="9.9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</row>
    <row r="145" spans="1:86" ht="9.9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</row>
    <row r="146" spans="1:86" ht="73.8" x14ac:dyDescent="0.25">
      <c r="A146" s="52" t="s">
        <v>41</v>
      </c>
      <c r="B146" s="53" t="s">
        <v>142</v>
      </c>
      <c r="C146" s="53" t="s">
        <v>143</v>
      </c>
      <c r="D146" s="53" t="s">
        <v>144</v>
      </c>
      <c r="E146" s="53" t="s">
        <v>145</v>
      </c>
      <c r="F146" s="53" t="s">
        <v>146</v>
      </c>
      <c r="G146" s="53" t="s">
        <v>147</v>
      </c>
      <c r="H146" s="53" t="s">
        <v>148</v>
      </c>
      <c r="I146" s="53" t="s">
        <v>149</v>
      </c>
      <c r="J146" s="53" t="s">
        <v>150</v>
      </c>
      <c r="K146" s="53" t="s">
        <v>151</v>
      </c>
      <c r="L146" s="53" t="s">
        <v>152</v>
      </c>
      <c r="M146" s="53" t="s">
        <v>153</v>
      </c>
      <c r="N146" s="53" t="s">
        <v>103</v>
      </c>
      <c r="O146" s="53" t="s">
        <v>104</v>
      </c>
      <c r="P146" s="53" t="s">
        <v>105</v>
      </c>
      <c r="Q146" s="53" t="s">
        <v>106</v>
      </c>
      <c r="R146" s="53" t="s">
        <v>107</v>
      </c>
      <c r="S146" s="53" t="s">
        <v>108</v>
      </c>
      <c r="T146" s="53" t="s">
        <v>109</v>
      </c>
      <c r="U146" s="53" t="s">
        <v>110</v>
      </c>
      <c r="V146" s="53" t="s">
        <v>111</v>
      </c>
      <c r="W146" s="53" t="s">
        <v>112</v>
      </c>
      <c r="X146" s="53" t="s">
        <v>113</v>
      </c>
      <c r="Y146" s="53" t="s">
        <v>114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 t="s">
        <v>0</v>
      </c>
      <c r="AM146" s="2" t="s">
        <v>0</v>
      </c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</row>
    <row r="147" spans="1:86" ht="12" customHeight="1" x14ac:dyDescent="0.25">
      <c r="A147" s="54" t="s">
        <v>42</v>
      </c>
      <c r="B147" s="63">
        <v>25584</v>
      </c>
      <c r="C147" s="63">
        <v>26412</v>
      </c>
      <c r="D147" s="63">
        <v>35869</v>
      </c>
      <c r="E147" s="63">
        <v>33317</v>
      </c>
      <c r="F147" s="63">
        <v>34393</v>
      </c>
      <c r="G147" s="63">
        <v>32018</v>
      </c>
      <c r="H147" s="63">
        <v>29326</v>
      </c>
      <c r="I147" s="63">
        <v>25952</v>
      </c>
      <c r="J147" s="63">
        <v>27592</v>
      </c>
      <c r="K147" s="63">
        <v>29005</v>
      </c>
      <c r="L147" s="63">
        <v>30428</v>
      </c>
      <c r="M147" s="63">
        <v>26249</v>
      </c>
      <c r="N147" s="57">
        <v>26946</v>
      </c>
      <c r="O147" s="57">
        <v>24077</v>
      </c>
      <c r="P147" s="57">
        <v>38065</v>
      </c>
      <c r="Q147" s="57">
        <v>32840</v>
      </c>
      <c r="R147" s="57">
        <v>32461</v>
      </c>
      <c r="S147" s="57">
        <v>33177</v>
      </c>
      <c r="T147" s="57">
        <v>27660</v>
      </c>
      <c r="U147" s="57">
        <v>24650</v>
      </c>
      <c r="V147" s="57">
        <v>27170</v>
      </c>
      <c r="W147" s="57">
        <f>293462-267046</f>
        <v>26416</v>
      </c>
      <c r="X147" s="57">
        <v>24433</v>
      </c>
      <c r="Y147" s="57">
        <v>18115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 t="s">
        <v>12</v>
      </c>
      <c r="BF147" s="2" t="s">
        <v>0</v>
      </c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</row>
    <row r="148" spans="1:86" ht="12" customHeight="1" x14ac:dyDescent="0.25">
      <c r="A148" s="54" t="s">
        <v>20</v>
      </c>
      <c r="B148" s="63">
        <v>56589</v>
      </c>
      <c r="C148" s="63">
        <v>57545</v>
      </c>
      <c r="D148" s="63">
        <v>69193</v>
      </c>
      <c r="E148" s="63">
        <v>58521</v>
      </c>
      <c r="F148" s="63">
        <v>60584</v>
      </c>
      <c r="G148" s="63">
        <v>52609</v>
      </c>
      <c r="H148" s="63">
        <v>39415</v>
      </c>
      <c r="I148" s="63">
        <v>40806</v>
      </c>
      <c r="J148" s="63">
        <v>44893</v>
      </c>
      <c r="K148" s="63">
        <v>46385</v>
      </c>
      <c r="L148" s="63">
        <v>44147</v>
      </c>
      <c r="M148" s="63">
        <v>51943</v>
      </c>
      <c r="N148" s="57">
        <v>48381</v>
      </c>
      <c r="O148" s="57">
        <v>48259</v>
      </c>
      <c r="P148" s="57">
        <v>65234</v>
      </c>
      <c r="Q148" s="57">
        <v>55699</v>
      </c>
      <c r="R148" s="57">
        <v>43614</v>
      </c>
      <c r="S148" s="57">
        <v>52585</v>
      </c>
      <c r="T148" s="57">
        <v>32265</v>
      </c>
      <c r="U148" s="57">
        <v>48862</v>
      </c>
      <c r="V148" s="57">
        <v>30924</v>
      </c>
      <c r="W148" s="57">
        <v>46300</v>
      </c>
      <c r="X148" s="57">
        <v>39616</v>
      </c>
      <c r="Y148" s="57">
        <v>25396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 t="s">
        <v>0</v>
      </c>
      <c r="BF148" s="2" t="s">
        <v>0</v>
      </c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</row>
    <row r="149" spans="1:86" ht="12" customHeight="1" x14ac:dyDescent="0.25">
      <c r="A149" s="54" t="s">
        <v>43</v>
      </c>
      <c r="B149" s="63">
        <v>36702</v>
      </c>
      <c r="C149" s="63">
        <v>30972</v>
      </c>
      <c r="D149" s="63">
        <v>41683</v>
      </c>
      <c r="E149" s="63">
        <v>36092</v>
      </c>
      <c r="F149" s="63">
        <v>44681</v>
      </c>
      <c r="G149" s="63">
        <v>40012</v>
      </c>
      <c r="H149" s="63">
        <v>33854</v>
      </c>
      <c r="I149" s="63">
        <v>33538</v>
      </c>
      <c r="J149" s="63">
        <v>36743</v>
      </c>
      <c r="K149" s="63">
        <v>34269</v>
      </c>
      <c r="L149" s="63">
        <v>31547</v>
      </c>
      <c r="M149" s="63">
        <v>38120</v>
      </c>
      <c r="N149" s="57">
        <v>38193</v>
      </c>
      <c r="O149" s="57">
        <f>14196+10925+10621</f>
        <v>35742</v>
      </c>
      <c r="P149" s="57">
        <f>13200+22934+13051</f>
        <v>49185</v>
      </c>
      <c r="Q149" s="57">
        <v>26082</v>
      </c>
      <c r="R149" s="57">
        <f>21224+12612+7324</f>
        <v>41160</v>
      </c>
      <c r="S149" s="57">
        <f>16272+11053+7721</f>
        <v>35046</v>
      </c>
      <c r="T149" s="57">
        <f>16718+6402+11920</f>
        <v>35040</v>
      </c>
      <c r="U149" s="57">
        <f>7784+11790+7535</f>
        <v>27109</v>
      </c>
      <c r="V149" s="57">
        <f>21235+8063+11134</f>
        <v>40432</v>
      </c>
      <c r="W149" s="57">
        <v>29453</v>
      </c>
      <c r="X149" s="57">
        <v>35007</v>
      </c>
      <c r="Y149" s="57">
        <f>18615+6415+9369</f>
        <v>34399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 t="s">
        <v>0</v>
      </c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</row>
    <row r="150" spans="1:86" ht="12" customHeight="1" x14ac:dyDescent="0.25">
      <c r="A150" s="54" t="s">
        <v>18</v>
      </c>
      <c r="B150" s="63">
        <v>185603</v>
      </c>
      <c r="C150" s="63">
        <v>204404</v>
      </c>
      <c r="D150" s="63">
        <v>257631</v>
      </c>
      <c r="E150" s="63">
        <v>169269</v>
      </c>
      <c r="F150" s="63">
        <v>198088</v>
      </c>
      <c r="G150" s="63">
        <v>210153</v>
      </c>
      <c r="H150" s="63">
        <v>159881</v>
      </c>
      <c r="I150" s="63">
        <v>108784</v>
      </c>
      <c r="J150" s="63">
        <v>167563</v>
      </c>
      <c r="K150" s="63">
        <v>176098</v>
      </c>
      <c r="L150" s="63">
        <v>179060</v>
      </c>
      <c r="M150" s="63">
        <v>187531</v>
      </c>
      <c r="N150" s="57">
        <v>147143</v>
      </c>
      <c r="O150" s="57">
        <v>162966</v>
      </c>
      <c r="P150" s="57">
        <v>196980</v>
      </c>
      <c r="Q150" s="57">
        <v>167373</v>
      </c>
      <c r="R150" s="57">
        <v>165776</v>
      </c>
      <c r="S150" s="57">
        <v>208060</v>
      </c>
      <c r="T150" s="57">
        <v>148966</v>
      </c>
      <c r="U150" s="57">
        <v>96757</v>
      </c>
      <c r="V150" s="57">
        <v>136811</v>
      </c>
      <c r="W150" s="57">
        <v>163088</v>
      </c>
      <c r="X150" s="57">
        <v>144618</v>
      </c>
      <c r="Y150" s="57">
        <v>160334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 t="s">
        <v>0</v>
      </c>
      <c r="BF150" s="2" t="s">
        <v>0</v>
      </c>
      <c r="BG150" s="2" t="s">
        <v>0</v>
      </c>
      <c r="BH150" s="2" t="s">
        <v>0</v>
      </c>
      <c r="BI150" s="2" t="s">
        <v>0</v>
      </c>
      <c r="BJ150" s="2" t="s">
        <v>0</v>
      </c>
      <c r="BK150" s="2" t="s">
        <v>0</v>
      </c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</row>
    <row r="151" spans="1:86" ht="12" customHeight="1" x14ac:dyDescent="0.25">
      <c r="A151" s="54" t="s">
        <v>15</v>
      </c>
      <c r="B151" s="63">
        <v>211056</v>
      </c>
      <c r="C151" s="63">
        <v>224426</v>
      </c>
      <c r="D151" s="63">
        <v>327921</v>
      </c>
      <c r="E151" s="63">
        <v>266251</v>
      </c>
      <c r="F151" s="63">
        <v>304543</v>
      </c>
      <c r="G151" s="63">
        <v>288382</v>
      </c>
      <c r="H151" s="63">
        <v>260907</v>
      </c>
      <c r="I151" s="63">
        <v>237561</v>
      </c>
      <c r="J151" s="63">
        <v>280689</v>
      </c>
      <c r="K151" s="63">
        <v>258253</v>
      </c>
      <c r="L151" s="63">
        <v>269144</v>
      </c>
      <c r="M151" s="63">
        <v>244501</v>
      </c>
      <c r="N151" s="57">
        <v>210195</v>
      </c>
      <c r="O151" s="57">
        <v>224318</v>
      </c>
      <c r="P151" s="57">
        <v>339123</v>
      </c>
      <c r="Q151" s="57">
        <v>274066</v>
      </c>
      <c r="R151" s="57">
        <v>289977</v>
      </c>
      <c r="S151" s="57">
        <v>296722</v>
      </c>
      <c r="T151" s="57">
        <v>247860</v>
      </c>
      <c r="U151" s="57">
        <v>226455</v>
      </c>
      <c r="V151" s="57">
        <v>250082</v>
      </c>
      <c r="W151" s="57">
        <f>2618327-2358798</f>
        <v>259529</v>
      </c>
      <c r="X151" s="57">
        <v>259846</v>
      </c>
      <c r="Y151" s="57">
        <f>3082504-2878173</f>
        <v>204331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2" customHeight="1" x14ac:dyDescent="0.25">
      <c r="A152" s="54" t="s">
        <v>44</v>
      </c>
      <c r="B152" s="63">
        <v>9747</v>
      </c>
      <c r="C152" s="63">
        <v>6989</v>
      </c>
      <c r="D152" s="63">
        <v>8531</v>
      </c>
      <c r="E152" s="63">
        <v>10191</v>
      </c>
      <c r="F152" s="63">
        <v>10076</v>
      </c>
      <c r="G152" s="63">
        <v>9741</v>
      </c>
      <c r="H152" s="63">
        <v>9940</v>
      </c>
      <c r="I152" s="63">
        <v>7297</v>
      </c>
      <c r="J152" s="63">
        <v>6719</v>
      </c>
      <c r="K152" s="63">
        <v>5023</v>
      </c>
      <c r="L152" s="63">
        <v>7890</v>
      </c>
      <c r="M152" s="63">
        <v>5538</v>
      </c>
      <c r="N152" s="57">
        <v>8451</v>
      </c>
      <c r="O152" s="57">
        <v>3827</v>
      </c>
      <c r="P152" s="57">
        <v>4901</v>
      </c>
      <c r="Q152" s="57">
        <v>4409</v>
      </c>
      <c r="R152" s="57">
        <v>5314</v>
      </c>
      <c r="S152" s="57">
        <v>5527</v>
      </c>
      <c r="T152" s="57">
        <v>5757</v>
      </c>
      <c r="U152" s="57">
        <v>3886</v>
      </c>
      <c r="V152" s="57">
        <v>3463</v>
      </c>
      <c r="W152" s="57">
        <f>50646-45535</f>
        <v>5111</v>
      </c>
      <c r="X152" s="57">
        <v>4164</v>
      </c>
      <c r="Y152" s="57">
        <f>58482-54810</f>
        <v>3672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 x14ac:dyDescent="0.25">
      <c r="A153" s="54" t="s">
        <v>45</v>
      </c>
      <c r="B153" s="63">
        <v>21078</v>
      </c>
      <c r="C153" s="63">
        <v>12452</v>
      </c>
      <c r="D153" s="63">
        <v>14466</v>
      </c>
      <c r="E153" s="63">
        <v>8680</v>
      </c>
      <c r="F153" s="63">
        <v>9432</v>
      </c>
      <c r="G153" s="63">
        <v>11026</v>
      </c>
      <c r="H153" s="63">
        <v>4265</v>
      </c>
      <c r="I153" s="63">
        <v>3242</v>
      </c>
      <c r="J153" s="63">
        <v>2775</v>
      </c>
      <c r="K153" s="63">
        <v>1569</v>
      </c>
      <c r="L153" s="63">
        <v>779</v>
      </c>
      <c r="M153" s="63">
        <v>371</v>
      </c>
      <c r="N153" s="57">
        <v>21313</v>
      </c>
      <c r="O153" s="57">
        <v>11489</v>
      </c>
      <c r="P153" s="57">
        <v>13100</v>
      </c>
      <c r="Q153" s="57">
        <v>6770</v>
      </c>
      <c r="R153" s="57">
        <v>7714</v>
      </c>
      <c r="S153" s="57">
        <v>6028</v>
      </c>
      <c r="T153" s="57">
        <v>4431</v>
      </c>
      <c r="U153" s="57">
        <v>3098</v>
      </c>
      <c r="V153" s="57">
        <v>2487</v>
      </c>
      <c r="W153" s="57">
        <f>78091-76430</f>
        <v>1661</v>
      </c>
      <c r="X153" s="57">
        <v>1078</v>
      </c>
      <c r="Y153" s="57">
        <v>329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 x14ac:dyDescent="0.25">
      <c r="A154" s="54" t="s">
        <v>16</v>
      </c>
      <c r="B154" s="63">
        <v>164356</v>
      </c>
      <c r="C154" s="63">
        <v>160923</v>
      </c>
      <c r="D154" s="63">
        <v>188431</v>
      </c>
      <c r="E154" s="63">
        <v>158078</v>
      </c>
      <c r="F154" s="63">
        <v>171443</v>
      </c>
      <c r="G154" s="63">
        <v>169618</v>
      </c>
      <c r="H154" s="63">
        <v>138297</v>
      </c>
      <c r="I154" s="63">
        <v>71285</v>
      </c>
      <c r="J154" s="63">
        <v>147114</v>
      </c>
      <c r="K154" s="63">
        <v>133377</v>
      </c>
      <c r="L154" s="63">
        <v>132579</v>
      </c>
      <c r="M154" s="63">
        <v>112642</v>
      </c>
      <c r="N154" s="57">
        <v>137119</v>
      </c>
      <c r="O154" s="57">
        <v>131121</v>
      </c>
      <c r="P154" s="57">
        <v>138667</v>
      </c>
      <c r="Q154" s="57">
        <v>130263</v>
      </c>
      <c r="R154" s="57">
        <v>147792</v>
      </c>
      <c r="S154" s="57">
        <v>129217</v>
      </c>
      <c r="T154" s="57">
        <v>109560</v>
      </c>
      <c r="U154" s="57">
        <v>57291</v>
      </c>
      <c r="V154" s="57">
        <v>109597</v>
      </c>
      <c r="W154" s="57">
        <v>117233</v>
      </c>
      <c r="X154" s="57">
        <v>107008</v>
      </c>
      <c r="Y154" s="57">
        <f>1402089-1314868</f>
        <v>87221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</row>
    <row r="155" spans="1:86" ht="12" customHeight="1" x14ac:dyDescent="0.25">
      <c r="A155" s="54" t="s">
        <v>46</v>
      </c>
      <c r="B155" s="63">
        <v>75174</v>
      </c>
      <c r="C155" s="63">
        <v>49001</v>
      </c>
      <c r="D155" s="63">
        <v>56447</v>
      </c>
      <c r="E155" s="63">
        <v>47910</v>
      </c>
      <c r="F155" s="63">
        <v>50059</v>
      </c>
      <c r="G155" s="63">
        <v>50683</v>
      </c>
      <c r="H155" s="63">
        <v>42937</v>
      </c>
      <c r="I155" s="63">
        <v>39368</v>
      </c>
      <c r="J155" s="63">
        <v>44455</v>
      </c>
      <c r="K155" s="63">
        <v>44052</v>
      </c>
      <c r="L155" s="63">
        <v>41264</v>
      </c>
      <c r="M155" s="63">
        <v>14575</v>
      </c>
      <c r="N155" s="57">
        <v>70418</v>
      </c>
      <c r="O155" s="57">
        <v>44129</v>
      </c>
      <c r="P155" s="57">
        <v>52549</v>
      </c>
      <c r="Q155" s="57">
        <v>41178</v>
      </c>
      <c r="R155" s="57">
        <v>47628</v>
      </c>
      <c r="S155" s="57">
        <v>76813</v>
      </c>
      <c r="T155" s="57">
        <v>31078</v>
      </c>
      <c r="U155" s="57">
        <v>33211</v>
      </c>
      <c r="V155" s="57">
        <v>32090</v>
      </c>
      <c r="W155" s="57">
        <f>455990-429094</f>
        <v>26896</v>
      </c>
      <c r="X155" s="57">
        <v>30247</v>
      </c>
      <c r="Y155" s="57">
        <f>502544-486237</f>
        <v>16307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</row>
    <row r="156" spans="1:86" ht="12" customHeight="1" x14ac:dyDescent="0.25">
      <c r="A156" s="54" t="s">
        <v>47</v>
      </c>
      <c r="B156" s="63">
        <v>13223</v>
      </c>
      <c r="C156" s="63">
        <v>13415</v>
      </c>
      <c r="D156" s="63">
        <v>18950</v>
      </c>
      <c r="E156" s="63">
        <v>17200</v>
      </c>
      <c r="F156" s="63">
        <v>11949</v>
      </c>
      <c r="G156" s="63">
        <v>17152</v>
      </c>
      <c r="H156" s="63">
        <v>8549</v>
      </c>
      <c r="I156" s="63">
        <v>8128</v>
      </c>
      <c r="J156" s="63">
        <v>9230</v>
      </c>
      <c r="K156" s="63">
        <v>9126</v>
      </c>
      <c r="L156" s="63">
        <v>9519</v>
      </c>
      <c r="M156" s="63">
        <v>11301</v>
      </c>
      <c r="N156" s="57">
        <v>6949</v>
      </c>
      <c r="O156" s="57">
        <v>6932</v>
      </c>
      <c r="P156" s="57">
        <v>9622</v>
      </c>
      <c r="Q156" s="57">
        <v>8400</v>
      </c>
      <c r="R156" s="57">
        <v>10668</v>
      </c>
      <c r="S156" s="57">
        <v>10805</v>
      </c>
      <c r="T156" s="57">
        <v>9284</v>
      </c>
      <c r="U156" s="57">
        <v>5443</v>
      </c>
      <c r="V156" s="57">
        <v>6358</v>
      </c>
      <c r="W156" s="57">
        <f>81849-74461</f>
        <v>7388</v>
      </c>
      <c r="X156" s="57">
        <v>8642</v>
      </c>
      <c r="Y156" s="57">
        <f>95290-90491</f>
        <v>4799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</row>
    <row r="157" spans="1:86" ht="12" customHeight="1" x14ac:dyDescent="0.25">
      <c r="A157" s="54" t="s">
        <v>19</v>
      </c>
      <c r="B157" s="63">
        <v>53632</v>
      </c>
      <c r="C157" s="63">
        <v>66122</v>
      </c>
      <c r="D157" s="63">
        <v>88397</v>
      </c>
      <c r="E157" s="63">
        <v>71809</v>
      </c>
      <c r="F157" s="63">
        <v>78870</v>
      </c>
      <c r="G157" s="63">
        <v>83387</v>
      </c>
      <c r="H157" s="63">
        <v>78913</v>
      </c>
      <c r="I157" s="63">
        <v>47224</v>
      </c>
      <c r="J157" s="63">
        <v>55572</v>
      </c>
      <c r="K157" s="63">
        <v>57279</v>
      </c>
      <c r="L157" s="63">
        <v>60395</v>
      </c>
      <c r="M157" s="63">
        <v>66459</v>
      </c>
      <c r="N157" s="57">
        <v>54961</v>
      </c>
      <c r="O157" s="57">
        <v>64734</v>
      </c>
      <c r="P157" s="57">
        <v>84424</v>
      </c>
      <c r="Q157" s="57">
        <v>56257</v>
      </c>
      <c r="R157" s="57">
        <v>72435</v>
      </c>
      <c r="S157" s="57">
        <v>73259</v>
      </c>
      <c r="T157" s="57">
        <v>65323</v>
      </c>
      <c r="U157" s="57">
        <v>48823</v>
      </c>
      <c r="V157" s="57">
        <v>35146</v>
      </c>
      <c r="W157" s="57">
        <f>600237-555362</f>
        <v>44875</v>
      </c>
      <c r="X157" s="57">
        <v>48155</v>
      </c>
      <c r="Y157" s="57">
        <f>699589-648392</f>
        <v>51197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</row>
    <row r="158" spans="1:86" ht="12" customHeight="1" x14ac:dyDescent="0.25">
      <c r="A158" s="54" t="s">
        <v>48</v>
      </c>
      <c r="B158" s="63">
        <v>19244</v>
      </c>
      <c r="C158" s="63">
        <v>20993</v>
      </c>
      <c r="D158" s="63">
        <v>29527</v>
      </c>
      <c r="E158" s="63">
        <v>28940</v>
      </c>
      <c r="F158" s="63">
        <v>30853</v>
      </c>
      <c r="G158" s="63">
        <v>27485</v>
      </c>
      <c r="H158" s="63">
        <v>19621</v>
      </c>
      <c r="I158" s="63">
        <v>24368</v>
      </c>
      <c r="J158" s="63">
        <v>26605</v>
      </c>
      <c r="K158" s="63">
        <v>25862</v>
      </c>
      <c r="L158" s="63">
        <v>26084</v>
      </c>
      <c r="M158" s="63">
        <v>25219</v>
      </c>
      <c r="N158" s="57">
        <v>18686</v>
      </c>
      <c r="O158" s="57">
        <v>20735</v>
      </c>
      <c r="P158" s="57">
        <v>28555</v>
      </c>
      <c r="Q158" s="57">
        <v>22891</v>
      </c>
      <c r="R158" s="57">
        <v>26204</v>
      </c>
      <c r="S158" s="57">
        <v>25562</v>
      </c>
      <c r="T158" s="57">
        <v>18076</v>
      </c>
      <c r="U158" s="57">
        <v>21065</v>
      </c>
      <c r="V158" s="57">
        <v>21937</v>
      </c>
      <c r="W158" s="57">
        <f>227739-203711</f>
        <v>24028</v>
      </c>
      <c r="X158" s="57">
        <v>25052</v>
      </c>
      <c r="Y158" s="57">
        <f>279478-252791</f>
        <v>26687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</row>
    <row r="159" spans="1:86" ht="12" customHeight="1" x14ac:dyDescent="0.25">
      <c r="A159" s="54" t="s">
        <v>49</v>
      </c>
      <c r="B159" s="63">
        <v>20329</v>
      </c>
      <c r="C159" s="63">
        <v>22417</v>
      </c>
      <c r="D159" s="63">
        <v>30107</v>
      </c>
      <c r="E159" s="63">
        <v>27586</v>
      </c>
      <c r="F159" s="63">
        <v>29949</v>
      </c>
      <c r="G159" s="63">
        <v>28086</v>
      </c>
      <c r="H159" s="63">
        <v>25822</v>
      </c>
      <c r="I159" s="63">
        <v>21963</v>
      </c>
      <c r="J159" s="63">
        <v>26479</v>
      </c>
      <c r="K159" s="63">
        <v>26987</v>
      </c>
      <c r="L159" s="63">
        <v>28750</v>
      </c>
      <c r="M159" s="63">
        <v>30483</v>
      </c>
      <c r="N159" s="57">
        <v>23386</v>
      </c>
      <c r="O159" s="57">
        <v>23255</v>
      </c>
      <c r="P159" s="57">
        <v>32489</v>
      </c>
      <c r="Q159" s="57">
        <v>28834</v>
      </c>
      <c r="R159" s="57">
        <v>29441</v>
      </c>
      <c r="S159" s="57">
        <v>39905</v>
      </c>
      <c r="T159" s="57">
        <v>24998</v>
      </c>
      <c r="U159" s="57">
        <v>22052</v>
      </c>
      <c r="V159" s="57">
        <v>21166</v>
      </c>
      <c r="W159" s="57">
        <f>272081-245526</f>
        <v>26555</v>
      </c>
      <c r="X159" s="57">
        <v>26950</v>
      </c>
      <c r="Y159" s="57">
        <f>328139-299031</f>
        <v>29108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</row>
    <row r="160" spans="1:86" ht="12" customHeight="1" x14ac:dyDescent="0.25">
      <c r="A160" s="54" t="s">
        <v>17</v>
      </c>
      <c r="B160" s="63">
        <v>128811</v>
      </c>
      <c r="C160" s="63">
        <v>63424</v>
      </c>
      <c r="D160" s="63">
        <v>366101</v>
      </c>
      <c r="E160" s="63">
        <v>137746</v>
      </c>
      <c r="F160" s="63">
        <v>150431</v>
      </c>
      <c r="G160" s="63">
        <v>183125</v>
      </c>
      <c r="H160" s="63">
        <v>131634</v>
      </c>
      <c r="I160" s="63">
        <v>59346</v>
      </c>
      <c r="J160" s="63">
        <v>332476</v>
      </c>
      <c r="K160" s="63">
        <v>134944</v>
      </c>
      <c r="L160" s="63">
        <v>134027</v>
      </c>
      <c r="M160" s="63">
        <v>119188</v>
      </c>
      <c r="N160" s="57">
        <v>128853</v>
      </c>
      <c r="O160" s="57">
        <v>61868</v>
      </c>
      <c r="P160" s="57">
        <v>372835</v>
      </c>
      <c r="Q160" s="57">
        <v>142322</v>
      </c>
      <c r="R160" s="57">
        <v>162288</v>
      </c>
      <c r="S160" s="57">
        <v>189514</v>
      </c>
      <c r="T160" s="57">
        <v>143884</v>
      </c>
      <c r="U160" s="57">
        <v>59433</v>
      </c>
      <c r="V160" s="57">
        <v>359612</v>
      </c>
      <c r="W160" s="57">
        <f>1771861-1620609</f>
        <v>151252</v>
      </c>
      <c r="X160" s="57">
        <v>149191</v>
      </c>
      <c r="Y160" s="57">
        <v>123557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</row>
    <row r="161" spans="1:86" ht="12" customHeight="1" x14ac:dyDescent="0.25">
      <c r="A161" s="58" t="s">
        <v>27</v>
      </c>
      <c r="B161" s="63">
        <v>1464</v>
      </c>
      <c r="C161" s="63">
        <v>1358</v>
      </c>
      <c r="D161" s="63">
        <v>1816</v>
      </c>
      <c r="E161" s="63">
        <v>1857</v>
      </c>
      <c r="F161" s="63">
        <v>1798</v>
      </c>
      <c r="G161" s="63">
        <v>1994</v>
      </c>
      <c r="H161" s="63">
        <v>1990</v>
      </c>
      <c r="I161" s="63">
        <v>1809</v>
      </c>
      <c r="J161" s="63">
        <v>1897</v>
      </c>
      <c r="K161" s="63">
        <v>1729</v>
      </c>
      <c r="L161" s="63">
        <v>1637</v>
      </c>
      <c r="M161" s="63">
        <v>2062</v>
      </c>
      <c r="N161" s="57">
        <v>1345</v>
      </c>
      <c r="O161" s="57">
        <v>1255</v>
      </c>
      <c r="P161" s="57">
        <v>1852</v>
      </c>
      <c r="Q161" s="57">
        <v>1395</v>
      </c>
      <c r="R161" s="57">
        <v>2398</v>
      </c>
      <c r="S161" s="57">
        <v>2135</v>
      </c>
      <c r="T161" s="57">
        <v>1616</v>
      </c>
      <c r="U161" s="57">
        <v>1519</v>
      </c>
      <c r="V161" s="57">
        <v>1347</v>
      </c>
      <c r="W161" s="57">
        <v>1512</v>
      </c>
      <c r="X161" s="57">
        <v>1670</v>
      </c>
      <c r="Y161" s="57">
        <v>1985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</row>
    <row r="162" spans="1:86" ht="12" customHeight="1" x14ac:dyDescent="0.25">
      <c r="A162" s="54" t="s">
        <v>50</v>
      </c>
      <c r="B162" s="63">
        <v>11678</v>
      </c>
      <c r="C162" s="63">
        <v>12847</v>
      </c>
      <c r="D162" s="63">
        <v>17501</v>
      </c>
      <c r="E162" s="63">
        <v>14620</v>
      </c>
      <c r="F162" s="63">
        <v>15482</v>
      </c>
      <c r="G162" s="63">
        <v>16156</v>
      </c>
      <c r="H162" s="63">
        <v>12118</v>
      </c>
      <c r="I162" s="63">
        <v>14105</v>
      </c>
      <c r="J162" s="63">
        <v>12978</v>
      </c>
      <c r="K162" s="63">
        <v>14858</v>
      </c>
      <c r="L162" s="63">
        <v>15920</v>
      </c>
      <c r="M162" s="63">
        <v>15019</v>
      </c>
      <c r="N162" s="57">
        <v>12921</v>
      </c>
      <c r="O162" s="57">
        <v>13544</v>
      </c>
      <c r="P162" s="57">
        <v>17064</v>
      </c>
      <c r="Q162" s="57">
        <v>16589</v>
      </c>
      <c r="R162" s="57">
        <v>15975</v>
      </c>
      <c r="S162" s="57">
        <v>18140</v>
      </c>
      <c r="T162" s="57">
        <v>11158</v>
      </c>
      <c r="U162" s="57">
        <v>13193</v>
      </c>
      <c r="V162" s="57">
        <v>12475</v>
      </c>
      <c r="W162" s="57">
        <v>15963</v>
      </c>
      <c r="X162" s="57">
        <v>14203</v>
      </c>
      <c r="Y162" s="57">
        <v>12784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</row>
    <row r="163" spans="1:86" ht="12" customHeight="1" x14ac:dyDescent="0.25">
      <c r="A163" s="54" t="s">
        <v>25</v>
      </c>
      <c r="B163" s="63">
        <v>2616</v>
      </c>
      <c r="C163" s="63">
        <v>2330</v>
      </c>
      <c r="D163" s="63">
        <v>3075</v>
      </c>
      <c r="E163" s="63">
        <v>3159</v>
      </c>
      <c r="F163" s="63">
        <v>3589</v>
      </c>
      <c r="G163" s="63">
        <v>3357</v>
      </c>
      <c r="H163" s="63">
        <v>2987</v>
      </c>
      <c r="I163" s="63">
        <v>3061</v>
      </c>
      <c r="J163" s="63">
        <v>3378</v>
      </c>
      <c r="K163" s="63">
        <v>3353</v>
      </c>
      <c r="L163" s="63">
        <v>3425</v>
      </c>
      <c r="M163" s="63">
        <v>3092</v>
      </c>
      <c r="N163" s="57">
        <v>3226</v>
      </c>
      <c r="O163" s="57">
        <f>1128+727+864</f>
        <v>2719</v>
      </c>
      <c r="P163" s="57">
        <f>1565+879+1003</f>
        <v>3447</v>
      </c>
      <c r="Q163" s="57">
        <v>3514</v>
      </c>
      <c r="R163" s="57">
        <f>1688+1040+1213</f>
        <v>3941</v>
      </c>
      <c r="S163" s="57">
        <f>1642+1050+1048</f>
        <v>3740</v>
      </c>
      <c r="T163" s="57">
        <f>1526+895+1051</f>
        <v>3472</v>
      </c>
      <c r="U163" s="57">
        <f>1423+894+957</f>
        <v>3274</v>
      </c>
      <c r="V163" s="57">
        <f>1442+744+980</f>
        <v>3166</v>
      </c>
      <c r="W163" s="57">
        <f>1474+1001+1190</f>
        <v>3665</v>
      </c>
      <c r="X163" s="57">
        <f>1436+873+948</f>
        <v>3257</v>
      </c>
      <c r="Y163" s="57">
        <f>1043+796+842</f>
        <v>2681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</row>
    <row r="164" spans="1:86" ht="12" customHeight="1" x14ac:dyDescent="0.25">
      <c r="A164" s="54" t="s">
        <v>22</v>
      </c>
      <c r="B164" s="63">
        <v>3466</v>
      </c>
      <c r="C164" s="63">
        <v>3519</v>
      </c>
      <c r="D164" s="63">
        <v>4421</v>
      </c>
      <c r="E164" s="63">
        <v>3691</v>
      </c>
      <c r="F164" s="63">
        <v>3816</v>
      </c>
      <c r="G164" s="63">
        <v>4199</v>
      </c>
      <c r="H164" s="63">
        <v>3680</v>
      </c>
      <c r="I164" s="63">
        <v>3404</v>
      </c>
      <c r="J164" s="63">
        <v>3480</v>
      </c>
      <c r="K164" s="63">
        <v>3504</v>
      </c>
      <c r="L164" s="63">
        <v>4490</v>
      </c>
      <c r="M164" s="63">
        <v>3427</v>
      </c>
      <c r="N164" s="57">
        <v>4934</v>
      </c>
      <c r="O164" s="57">
        <v>4263</v>
      </c>
      <c r="P164" s="57">
        <v>4767</v>
      </c>
      <c r="Q164" s="57">
        <v>4284</v>
      </c>
      <c r="R164" s="57">
        <v>4581</v>
      </c>
      <c r="S164" s="57">
        <v>4952</v>
      </c>
      <c r="T164" s="57">
        <v>4479</v>
      </c>
      <c r="U164" s="57">
        <v>3539</v>
      </c>
      <c r="V164" s="57">
        <v>3518</v>
      </c>
      <c r="W164" s="57">
        <v>4052</v>
      </c>
      <c r="X164" s="57">
        <v>4645</v>
      </c>
      <c r="Y164" s="57">
        <v>5045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 t="s">
        <v>0</v>
      </c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</row>
    <row r="165" spans="1:86" ht="12" customHeight="1" x14ac:dyDescent="0.25">
      <c r="A165" s="54" t="s">
        <v>21</v>
      </c>
      <c r="B165" s="63">
        <v>19966</v>
      </c>
      <c r="C165" s="63">
        <v>21817</v>
      </c>
      <c r="D165" s="63">
        <v>27312</v>
      </c>
      <c r="E165" s="63">
        <v>32636</v>
      </c>
      <c r="F165" s="63">
        <v>26210</v>
      </c>
      <c r="G165" s="63">
        <v>28350</v>
      </c>
      <c r="H165" s="63">
        <v>26588</v>
      </c>
      <c r="I165" s="63">
        <v>22363</v>
      </c>
      <c r="J165" s="63">
        <v>21689</v>
      </c>
      <c r="K165" s="63">
        <v>22624</v>
      </c>
      <c r="L165" s="63">
        <v>29163</v>
      </c>
      <c r="M165" s="63">
        <v>27327</v>
      </c>
      <c r="N165" s="57">
        <v>27185</v>
      </c>
      <c r="O165" s="57">
        <v>27021</v>
      </c>
      <c r="P165" s="57">
        <v>23659</v>
      </c>
      <c r="Q165" s="57">
        <v>27286</v>
      </c>
      <c r="R165" s="57">
        <v>27219</v>
      </c>
      <c r="S165" s="57">
        <v>26530</v>
      </c>
      <c r="T165" s="57">
        <v>20898</v>
      </c>
      <c r="U165" s="57">
        <v>18088</v>
      </c>
      <c r="V165" s="57">
        <v>18885</v>
      </c>
      <c r="W165" s="57">
        <f>242260-216771</f>
        <v>25489</v>
      </c>
      <c r="X165" s="57">
        <v>23239</v>
      </c>
      <c r="Y165" s="57">
        <v>21141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</row>
    <row r="166" spans="1:86" ht="12" customHeight="1" x14ac:dyDescent="0.25">
      <c r="A166" s="54" t="s">
        <v>26</v>
      </c>
      <c r="B166" s="63">
        <v>2648</v>
      </c>
      <c r="C166" s="63">
        <v>3238</v>
      </c>
      <c r="D166" s="63">
        <v>8865</v>
      </c>
      <c r="E166" s="63">
        <v>8465</v>
      </c>
      <c r="F166" s="63">
        <v>8474</v>
      </c>
      <c r="G166" s="63">
        <v>8606</v>
      </c>
      <c r="H166" s="63">
        <v>10751</v>
      </c>
      <c r="I166" s="63">
        <v>8761</v>
      </c>
      <c r="J166" s="63">
        <v>8435</v>
      </c>
      <c r="K166" s="63">
        <v>9676</v>
      </c>
      <c r="L166" s="63">
        <v>10279</v>
      </c>
      <c r="M166" s="63">
        <v>7721</v>
      </c>
      <c r="N166" s="57">
        <v>4937</v>
      </c>
      <c r="O166" s="57">
        <v>4126</v>
      </c>
      <c r="P166" s="57">
        <v>4902</v>
      </c>
      <c r="Q166" s="57">
        <v>6515</v>
      </c>
      <c r="R166" s="57">
        <v>8497</v>
      </c>
      <c r="S166" s="57">
        <v>6971</v>
      </c>
      <c r="T166" s="57">
        <v>6005</v>
      </c>
      <c r="U166" s="57">
        <v>5044</v>
      </c>
      <c r="V166" s="57">
        <v>4736</v>
      </c>
      <c r="W166" s="57">
        <v>6782</v>
      </c>
      <c r="X166" s="57">
        <v>5698</v>
      </c>
      <c r="Y166" s="57">
        <v>4828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 t="s">
        <v>0</v>
      </c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</row>
    <row r="167" spans="1:86" ht="12" customHeight="1" x14ac:dyDescent="0.25">
      <c r="A167" s="54" t="s">
        <v>23</v>
      </c>
      <c r="B167" s="63">
        <v>4414</v>
      </c>
      <c r="C167" s="63">
        <v>4803</v>
      </c>
      <c r="D167" s="63">
        <v>6480</v>
      </c>
      <c r="E167" s="63">
        <v>5675</v>
      </c>
      <c r="F167" s="63">
        <v>6513</v>
      </c>
      <c r="G167" s="63">
        <v>6298</v>
      </c>
      <c r="H167" s="63">
        <v>5583</v>
      </c>
      <c r="I167" s="63">
        <v>5190</v>
      </c>
      <c r="J167" s="63">
        <v>4998</v>
      </c>
      <c r="K167" s="63">
        <v>5751</v>
      </c>
      <c r="L167" s="63">
        <v>5903</v>
      </c>
      <c r="M167" s="63">
        <v>6595</v>
      </c>
      <c r="N167" s="57">
        <v>4801</v>
      </c>
      <c r="O167" s="57">
        <v>5370</v>
      </c>
      <c r="P167" s="57">
        <v>6427</v>
      </c>
      <c r="Q167" s="57">
        <v>5794</v>
      </c>
      <c r="R167" s="57">
        <v>5948</v>
      </c>
      <c r="S167" s="57">
        <v>5976</v>
      </c>
      <c r="T167" s="57">
        <v>6252</v>
      </c>
      <c r="U167" s="57">
        <v>5947</v>
      </c>
      <c r="V167" s="57">
        <v>7330</v>
      </c>
      <c r="W167" s="57">
        <v>4796</v>
      </c>
      <c r="X167" s="57">
        <v>5553</v>
      </c>
      <c r="Y167" s="57">
        <v>5074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 t="s">
        <v>0</v>
      </c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</row>
    <row r="168" spans="1:86" ht="12" customHeight="1" x14ac:dyDescent="0.25">
      <c r="A168" s="54" t="s">
        <v>24</v>
      </c>
      <c r="B168" s="63">
        <v>5427</v>
      </c>
      <c r="C168" s="63">
        <v>5317</v>
      </c>
      <c r="D168" s="63">
        <v>5909</v>
      </c>
      <c r="E168" s="63">
        <v>5007</v>
      </c>
      <c r="F168" s="63">
        <v>5513</v>
      </c>
      <c r="G168" s="63">
        <v>5769</v>
      </c>
      <c r="H168" s="63">
        <v>4743</v>
      </c>
      <c r="I168" s="63">
        <v>4170</v>
      </c>
      <c r="J168" s="63">
        <v>4523</v>
      </c>
      <c r="K168" s="63">
        <v>4547</v>
      </c>
      <c r="L168" s="63">
        <v>4212</v>
      </c>
      <c r="M168" s="63">
        <v>3280</v>
      </c>
      <c r="N168" s="57">
        <v>5011</v>
      </c>
      <c r="O168" s="57">
        <v>4128</v>
      </c>
      <c r="P168" s="57">
        <v>5186</v>
      </c>
      <c r="Q168" s="57">
        <v>4362</v>
      </c>
      <c r="R168" s="57">
        <v>4660</v>
      </c>
      <c r="S168" s="57">
        <v>4980</v>
      </c>
      <c r="T168" s="57">
        <v>4105</v>
      </c>
      <c r="U168" s="57">
        <v>3072</v>
      </c>
      <c r="V168" s="57">
        <v>3203</v>
      </c>
      <c r="W168" s="57">
        <v>3738</v>
      </c>
      <c r="X168" s="57">
        <v>3714</v>
      </c>
      <c r="Y168" s="57">
        <v>2489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</row>
    <row r="169" spans="1:86" ht="12" customHeight="1" x14ac:dyDescent="0.25">
      <c r="A169" s="54" t="s">
        <v>1</v>
      </c>
      <c r="B169" s="63">
        <v>30254</v>
      </c>
      <c r="C169" s="63">
        <v>40353</v>
      </c>
      <c r="D169" s="63">
        <v>53035</v>
      </c>
      <c r="E169" s="63">
        <v>53734</v>
      </c>
      <c r="F169" s="63">
        <v>59424</v>
      </c>
      <c r="G169" s="63">
        <v>57725</v>
      </c>
      <c r="H169" s="63">
        <v>38328</v>
      </c>
      <c r="I169" s="63">
        <v>40766</v>
      </c>
      <c r="J169" s="63">
        <v>40834</v>
      </c>
      <c r="K169" s="63">
        <v>48565</v>
      </c>
      <c r="L169" s="63">
        <v>46289</v>
      </c>
      <c r="M169" s="63">
        <v>85000</v>
      </c>
      <c r="N169" s="57">
        <v>19944</v>
      </c>
      <c r="O169" s="57">
        <v>28263</v>
      </c>
      <c r="P169" s="57">
        <v>47591</v>
      </c>
      <c r="Q169" s="57">
        <v>45611</v>
      </c>
      <c r="R169" s="57">
        <v>51304</v>
      </c>
      <c r="S169" s="57">
        <v>53820</v>
      </c>
      <c r="T169" s="57">
        <v>42838</v>
      </c>
      <c r="U169" s="57">
        <v>36712</v>
      </c>
      <c r="V169" s="57">
        <v>50151</v>
      </c>
      <c r="W169" s="57">
        <v>44193</v>
      </c>
      <c r="X169" s="57">
        <v>54927</v>
      </c>
      <c r="Y169" s="57">
        <v>80926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</row>
    <row r="170" spans="1:86" ht="12" customHeight="1" x14ac:dyDescent="0.25">
      <c r="A170" s="54" t="s">
        <v>2</v>
      </c>
      <c r="B170" s="63">
        <v>127564</v>
      </c>
      <c r="C170" s="63">
        <v>165931</v>
      </c>
      <c r="D170" s="63">
        <v>223809</v>
      </c>
      <c r="E170" s="63">
        <v>234918</v>
      </c>
      <c r="F170" s="63">
        <v>235170</v>
      </c>
      <c r="G170" s="63">
        <v>248050</v>
      </c>
      <c r="H170" s="63">
        <v>224620</v>
      </c>
      <c r="I170" s="63">
        <v>224764</v>
      </c>
      <c r="J170" s="63">
        <v>236456</v>
      </c>
      <c r="K170" s="63">
        <v>238340</v>
      </c>
      <c r="L170" s="63">
        <v>239539</v>
      </c>
      <c r="M170" s="63">
        <v>254247</v>
      </c>
      <c r="N170" s="57">
        <v>154406</v>
      </c>
      <c r="O170" s="57">
        <v>206873</v>
      </c>
      <c r="P170" s="57">
        <v>252816</v>
      </c>
      <c r="Q170" s="57">
        <v>266267</v>
      </c>
      <c r="R170" s="57">
        <v>260944</v>
      </c>
      <c r="S170" s="57">
        <v>272125</v>
      </c>
      <c r="T170" s="57">
        <v>255560</v>
      </c>
      <c r="U170" s="57">
        <v>259225</v>
      </c>
      <c r="V170" s="57">
        <v>259581</v>
      </c>
      <c r="W170" s="57">
        <v>253269</v>
      </c>
      <c r="X170" s="57">
        <v>240322</v>
      </c>
      <c r="Y170" s="57">
        <v>253723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</row>
    <row r="171" spans="1:86" ht="12" customHeight="1" x14ac:dyDescent="0.25">
      <c r="A171" s="54" t="s">
        <v>3</v>
      </c>
      <c r="B171" s="63">
        <v>11229</v>
      </c>
      <c r="C171" s="63">
        <v>10877</v>
      </c>
      <c r="D171" s="63">
        <v>18820</v>
      </c>
      <c r="E171" s="63">
        <v>19465</v>
      </c>
      <c r="F171" s="63">
        <v>16714</v>
      </c>
      <c r="G171" s="63">
        <v>16706</v>
      </c>
      <c r="H171" s="63">
        <v>20117</v>
      </c>
      <c r="I171" s="63">
        <v>21077</v>
      </c>
      <c r="J171" s="63">
        <v>21200</v>
      </c>
      <c r="K171" s="63">
        <v>18830</v>
      </c>
      <c r="L171" s="63">
        <v>20743</v>
      </c>
      <c r="M171" s="63">
        <v>24841</v>
      </c>
      <c r="N171" s="57">
        <v>12732</v>
      </c>
      <c r="O171" s="57">
        <v>13760</v>
      </c>
      <c r="P171" s="57">
        <v>22480</v>
      </c>
      <c r="Q171" s="57">
        <v>20840</v>
      </c>
      <c r="R171" s="57">
        <v>20555</v>
      </c>
      <c r="S171" s="57">
        <v>19333</v>
      </c>
      <c r="T171" s="57">
        <v>21277</v>
      </c>
      <c r="U171" s="57">
        <v>19791</v>
      </c>
      <c r="V171" s="57">
        <v>20209</v>
      </c>
      <c r="W171" s="57">
        <v>23028</v>
      </c>
      <c r="X171" s="57">
        <v>21295</v>
      </c>
      <c r="Y171" s="57">
        <v>22302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 t="s">
        <v>0</v>
      </c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</row>
    <row r="172" spans="1:86" ht="12" customHeight="1" x14ac:dyDescent="0.25">
      <c r="A172" s="54" t="s">
        <v>4</v>
      </c>
      <c r="B172" s="63">
        <v>259081</v>
      </c>
      <c r="C172" s="63">
        <v>341034</v>
      </c>
      <c r="D172" s="63">
        <v>363574</v>
      </c>
      <c r="E172" s="63">
        <v>153530</v>
      </c>
      <c r="F172" s="63">
        <v>200461</v>
      </c>
      <c r="G172" s="63">
        <v>294693</v>
      </c>
      <c r="H172" s="63">
        <v>312835</v>
      </c>
      <c r="I172" s="63">
        <v>273273</v>
      </c>
      <c r="J172" s="63">
        <v>392050</v>
      </c>
      <c r="K172" s="63">
        <v>320780</v>
      </c>
      <c r="L172" s="63">
        <v>323659</v>
      </c>
      <c r="M172" s="63">
        <v>289823</v>
      </c>
      <c r="N172" s="57">
        <v>358686</v>
      </c>
      <c r="O172" s="57">
        <f>301791+186413</f>
        <v>488204</v>
      </c>
      <c r="P172" s="57">
        <v>640916</v>
      </c>
      <c r="Q172" s="57">
        <v>306261</v>
      </c>
      <c r="R172" s="57">
        <v>369402</v>
      </c>
      <c r="S172" s="57">
        <v>432642</v>
      </c>
      <c r="T172" s="57">
        <v>445239</v>
      </c>
      <c r="U172" s="57">
        <v>315791</v>
      </c>
      <c r="V172" s="57">
        <v>377738</v>
      </c>
      <c r="W172" s="57">
        <v>299334</v>
      </c>
      <c r="X172" s="57">
        <v>324423</v>
      </c>
      <c r="Y172" s="57">
        <v>284047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</row>
    <row r="173" spans="1:86" ht="12" customHeight="1" x14ac:dyDescent="0.25">
      <c r="A173" s="54" t="s">
        <v>5</v>
      </c>
      <c r="B173" s="63">
        <v>396110</v>
      </c>
      <c r="C173" s="63">
        <v>502324</v>
      </c>
      <c r="D173" s="63">
        <v>670482</v>
      </c>
      <c r="E173" s="63">
        <v>648040</v>
      </c>
      <c r="F173" s="63">
        <v>558938</v>
      </c>
      <c r="G173" s="63">
        <v>539866</v>
      </c>
      <c r="H173" s="63">
        <v>519450</v>
      </c>
      <c r="I173" s="63">
        <v>502560</v>
      </c>
      <c r="J173" s="63">
        <v>498770</v>
      </c>
      <c r="K173" s="63">
        <v>520295</v>
      </c>
      <c r="L173" s="63">
        <v>458116</v>
      </c>
      <c r="M173" s="63">
        <v>571719</v>
      </c>
      <c r="N173" s="57">
        <v>474449</v>
      </c>
      <c r="O173" s="57">
        <v>614717</v>
      </c>
      <c r="P173" s="57">
        <v>770253</v>
      </c>
      <c r="Q173" s="57">
        <v>637884</v>
      </c>
      <c r="R173" s="57">
        <v>692734</v>
      </c>
      <c r="S173" s="57">
        <v>665462</v>
      </c>
      <c r="T173" s="57">
        <v>590171</v>
      </c>
      <c r="U173" s="57">
        <v>661967</v>
      </c>
      <c r="V173" s="57">
        <v>597031</v>
      </c>
      <c r="W173" s="57">
        <v>554691</v>
      </c>
      <c r="X173" s="57">
        <v>575248</v>
      </c>
      <c r="Y173" s="57">
        <v>639243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 t="s">
        <v>0</v>
      </c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</row>
    <row r="174" spans="1:86" ht="12" customHeight="1" x14ac:dyDescent="0.25">
      <c r="A174" s="54" t="s">
        <v>6</v>
      </c>
      <c r="B174" s="63">
        <v>1528965</v>
      </c>
      <c r="C174" s="63">
        <v>967242</v>
      </c>
      <c r="D174" s="63">
        <v>1347569</v>
      </c>
      <c r="E174" s="63">
        <v>1142320</v>
      </c>
      <c r="F174" s="63">
        <v>1042862</v>
      </c>
      <c r="G174" s="63">
        <v>1109210</v>
      </c>
      <c r="H174" s="63">
        <v>1011842</v>
      </c>
      <c r="I174" s="63">
        <v>1095170</v>
      </c>
      <c r="J174" s="63">
        <v>1319502</v>
      </c>
      <c r="K174" s="63">
        <v>1220779</v>
      </c>
      <c r="L174" s="63">
        <v>1343668</v>
      </c>
      <c r="M174" s="63">
        <v>1368891</v>
      </c>
      <c r="N174" s="57">
        <v>1160590</v>
      </c>
      <c r="O174" s="57">
        <v>1213123</v>
      </c>
      <c r="P174" s="57">
        <v>1399966</v>
      </c>
      <c r="Q174" s="57">
        <v>1276038</v>
      </c>
      <c r="R174" s="57">
        <v>1281907</v>
      </c>
      <c r="S174" s="57">
        <v>1284200</v>
      </c>
      <c r="T174" s="57">
        <v>1120206</v>
      </c>
      <c r="U174" s="57">
        <v>1218884</v>
      </c>
      <c r="V174" s="57">
        <v>1315572</v>
      </c>
      <c r="W174" s="57">
        <v>1298931</v>
      </c>
      <c r="X174" s="57">
        <v>1461303</v>
      </c>
      <c r="Y174" s="57">
        <v>1462874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</row>
    <row r="175" spans="1:86" ht="12" customHeight="1" x14ac:dyDescent="0.25">
      <c r="A175" s="54" t="s">
        <v>7</v>
      </c>
      <c r="B175" s="63">
        <v>100232</v>
      </c>
      <c r="C175" s="63">
        <v>87975</v>
      </c>
      <c r="D175" s="63">
        <v>109819</v>
      </c>
      <c r="E175" s="63">
        <v>104350</v>
      </c>
      <c r="F175" s="63">
        <v>99200</v>
      </c>
      <c r="G175" s="63">
        <v>106218</v>
      </c>
      <c r="H175" s="63">
        <v>105270</v>
      </c>
      <c r="I175" s="63">
        <v>95756</v>
      </c>
      <c r="J175" s="63">
        <v>103746</v>
      </c>
      <c r="K175" s="63">
        <v>98007</v>
      </c>
      <c r="L175" s="63">
        <v>93769</v>
      </c>
      <c r="M175" s="63">
        <v>106940</v>
      </c>
      <c r="N175" s="57">
        <v>91393</v>
      </c>
      <c r="O175" s="57">
        <v>102763</v>
      </c>
      <c r="P175" s="57">
        <v>109695</v>
      </c>
      <c r="Q175" s="57">
        <v>107803</v>
      </c>
      <c r="R175" s="57">
        <v>112229</v>
      </c>
      <c r="S175" s="57">
        <v>112885</v>
      </c>
      <c r="T175" s="57">
        <v>111886</v>
      </c>
      <c r="U175" s="57">
        <v>86945</v>
      </c>
      <c r="V175" s="57">
        <v>112628</v>
      </c>
      <c r="W175" s="57">
        <v>114283</v>
      </c>
      <c r="X175" s="57">
        <v>118622</v>
      </c>
      <c r="Y175" s="57">
        <v>114961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</row>
    <row r="176" spans="1:86" ht="12" customHeight="1" x14ac:dyDescent="0.25">
      <c r="A176" s="54" t="s">
        <v>8</v>
      </c>
      <c r="B176" s="63">
        <v>180611</v>
      </c>
      <c r="C176" s="63">
        <v>202156</v>
      </c>
      <c r="D176" s="63">
        <v>224390</v>
      </c>
      <c r="E176" s="63">
        <v>211375</v>
      </c>
      <c r="F176" s="63">
        <v>232593</v>
      </c>
      <c r="G176" s="63">
        <v>222404</v>
      </c>
      <c r="H176" s="63">
        <v>222661</v>
      </c>
      <c r="I176" s="63">
        <v>236172</v>
      </c>
      <c r="J176" s="63">
        <v>226158</v>
      </c>
      <c r="K176" s="63">
        <v>203351</v>
      </c>
      <c r="L176" s="63">
        <v>233557</v>
      </c>
      <c r="M176" s="63">
        <v>251606</v>
      </c>
      <c r="N176" s="57">
        <v>196210</v>
      </c>
      <c r="O176" s="57">
        <v>185186</v>
      </c>
      <c r="P176" s="57">
        <v>219791</v>
      </c>
      <c r="Q176" s="57">
        <v>188708</v>
      </c>
      <c r="R176" s="57">
        <v>209736</v>
      </c>
      <c r="S176" s="57">
        <v>274644</v>
      </c>
      <c r="T176" s="57">
        <v>280254</v>
      </c>
      <c r="U176" s="57">
        <v>325773</v>
      </c>
      <c r="V176" s="57">
        <v>213697</v>
      </c>
      <c r="W176" s="57">
        <v>249785</v>
      </c>
      <c r="X176" s="57">
        <v>232498</v>
      </c>
      <c r="Y176" s="57">
        <v>275258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</row>
    <row r="177" spans="1:86" ht="12" customHeight="1" x14ac:dyDescent="0.25">
      <c r="A177" s="54" t="s">
        <v>9</v>
      </c>
      <c r="B177" s="63">
        <v>233994</v>
      </c>
      <c r="C177" s="63">
        <v>235521</v>
      </c>
      <c r="D177" s="63">
        <v>245841</v>
      </c>
      <c r="E177" s="63">
        <v>207604</v>
      </c>
      <c r="F177" s="63">
        <v>206194</v>
      </c>
      <c r="G177" s="63">
        <v>189000</v>
      </c>
      <c r="H177" s="63">
        <v>183657</v>
      </c>
      <c r="I177" s="63">
        <v>191914</v>
      </c>
      <c r="J177" s="63">
        <v>218170</v>
      </c>
      <c r="K177" s="63">
        <v>183142</v>
      </c>
      <c r="L177" s="63">
        <v>217281</v>
      </c>
      <c r="M177" s="63">
        <v>207316</v>
      </c>
      <c r="N177" s="57">
        <v>252113</v>
      </c>
      <c r="O177" s="57">
        <v>269841</v>
      </c>
      <c r="P177" s="57">
        <v>292118</v>
      </c>
      <c r="Q177" s="57">
        <v>227034</v>
      </c>
      <c r="R177" s="57">
        <v>221135</v>
      </c>
      <c r="S177" s="57">
        <v>206698</v>
      </c>
      <c r="T177" s="57">
        <v>203119</v>
      </c>
      <c r="U177" s="57">
        <v>184358</v>
      </c>
      <c r="V177" s="57">
        <v>228806</v>
      </c>
      <c r="W177" s="57">
        <v>246725</v>
      </c>
      <c r="X177" s="57">
        <v>227091</v>
      </c>
      <c r="Y177" s="57">
        <v>211023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</row>
    <row r="178" spans="1:86" ht="12" customHeight="1" x14ac:dyDescent="0.25">
      <c r="A178" s="54" t="s">
        <v>10</v>
      </c>
      <c r="B178" s="63">
        <v>33160</v>
      </c>
      <c r="C178" s="63">
        <v>42672</v>
      </c>
      <c r="D178" s="63">
        <v>68014</v>
      </c>
      <c r="E178" s="63">
        <v>74121</v>
      </c>
      <c r="F178" s="63">
        <v>76825</v>
      </c>
      <c r="G178" s="63">
        <v>74917</v>
      </c>
      <c r="H178" s="63">
        <v>62278</v>
      </c>
      <c r="I178" s="63">
        <v>59917</v>
      </c>
      <c r="J178" s="63">
        <v>56252</v>
      </c>
      <c r="K178" s="63">
        <v>52009</v>
      </c>
      <c r="L178" s="63">
        <v>50493</v>
      </c>
      <c r="M178" s="63">
        <v>45473</v>
      </c>
      <c r="N178" s="57">
        <v>40431</v>
      </c>
      <c r="O178" s="57">
        <v>45559</v>
      </c>
      <c r="P178" s="57">
        <v>72756</v>
      </c>
      <c r="Q178" s="57">
        <v>75440</v>
      </c>
      <c r="R178" s="57">
        <v>83033</v>
      </c>
      <c r="S178" s="57">
        <v>78049</v>
      </c>
      <c r="T178" s="57">
        <v>62463</v>
      </c>
      <c r="U178" s="57">
        <v>65015</v>
      </c>
      <c r="V178" s="57">
        <v>64575</v>
      </c>
      <c r="W178" s="57">
        <v>60026</v>
      </c>
      <c r="X178" s="57">
        <v>53735</v>
      </c>
      <c r="Y178" s="57">
        <v>47449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</row>
    <row r="179" spans="1:86" ht="12" customHeight="1" x14ac:dyDescent="0.25">
      <c r="A179" s="54" t="s">
        <v>11</v>
      </c>
      <c r="B179" s="63">
        <v>45437</v>
      </c>
      <c r="C179" s="63">
        <v>43027</v>
      </c>
      <c r="D179" s="63">
        <v>46444</v>
      </c>
      <c r="E179" s="63">
        <v>40916</v>
      </c>
      <c r="F179" s="63">
        <v>44711</v>
      </c>
      <c r="G179" s="63">
        <v>44784</v>
      </c>
      <c r="H179" s="63">
        <v>45536</v>
      </c>
      <c r="I179" s="63">
        <v>50788</v>
      </c>
      <c r="J179" s="63">
        <v>50004</v>
      </c>
      <c r="K179" s="63">
        <v>49626</v>
      </c>
      <c r="L179" s="63">
        <v>54253</v>
      </c>
      <c r="M179" s="63">
        <v>76015</v>
      </c>
      <c r="N179" s="57">
        <v>49777</v>
      </c>
      <c r="O179" s="57">
        <v>50262</v>
      </c>
      <c r="P179" s="57">
        <v>55684</v>
      </c>
      <c r="Q179" s="57">
        <v>45796</v>
      </c>
      <c r="R179" s="57">
        <v>51688</v>
      </c>
      <c r="S179" s="57">
        <v>51173</v>
      </c>
      <c r="T179" s="57">
        <v>50359</v>
      </c>
      <c r="U179" s="57">
        <v>53898</v>
      </c>
      <c r="V179" s="57">
        <v>52183</v>
      </c>
      <c r="W179" s="57">
        <v>54138</v>
      </c>
      <c r="X179" s="57">
        <v>61111</v>
      </c>
      <c r="Y179" s="57">
        <v>73106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</row>
    <row r="180" spans="1:86" ht="12" customHeight="1" x14ac:dyDescent="0.25">
      <c r="A180" s="54" t="s">
        <v>29</v>
      </c>
      <c r="B180" s="63">
        <v>44445</v>
      </c>
      <c r="C180" s="63">
        <v>41024</v>
      </c>
      <c r="D180" s="63">
        <v>49411</v>
      </c>
      <c r="E180" s="63">
        <v>47120</v>
      </c>
      <c r="F180" s="63">
        <v>48733</v>
      </c>
      <c r="G180" s="63">
        <v>60417</v>
      </c>
      <c r="H180" s="63">
        <v>54167</v>
      </c>
      <c r="I180" s="63">
        <v>60475</v>
      </c>
      <c r="J180" s="63">
        <v>64427</v>
      </c>
      <c r="K180" s="63">
        <v>53852</v>
      </c>
      <c r="L180" s="63">
        <v>47248</v>
      </c>
      <c r="M180" s="63">
        <v>43838</v>
      </c>
      <c r="N180" s="57">
        <v>52031</v>
      </c>
      <c r="O180" s="57">
        <v>51619</v>
      </c>
      <c r="P180" s="57">
        <v>53088</v>
      </c>
      <c r="Q180" s="57">
        <v>53453</v>
      </c>
      <c r="R180" s="57">
        <v>56148</v>
      </c>
      <c r="S180" s="57">
        <v>62935</v>
      </c>
      <c r="T180" s="57">
        <v>65099</v>
      </c>
      <c r="U180" s="57">
        <v>66018</v>
      </c>
      <c r="V180" s="57">
        <v>56325</v>
      </c>
      <c r="W180" s="57">
        <v>60022</v>
      </c>
      <c r="X180" s="57">
        <v>48903</v>
      </c>
      <c r="Y180" s="57">
        <v>45000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</row>
    <row r="181" spans="1:86" ht="12" customHeight="1" x14ac:dyDescent="0.25">
      <c r="A181" s="66" t="s">
        <v>28</v>
      </c>
      <c r="B181" s="64">
        <v>60571</v>
      </c>
      <c r="C181" s="64">
        <v>64371</v>
      </c>
      <c r="D181" s="64">
        <v>73294</v>
      </c>
      <c r="E181" s="64">
        <v>58619</v>
      </c>
      <c r="F181" s="64">
        <v>59703</v>
      </c>
      <c r="G181" s="64">
        <v>75840</v>
      </c>
      <c r="H181" s="64">
        <v>65084</v>
      </c>
      <c r="I181" s="64">
        <v>70534</v>
      </c>
      <c r="J181" s="64">
        <v>68478</v>
      </c>
      <c r="K181" s="64">
        <v>67936</v>
      </c>
      <c r="L181" s="64">
        <v>70894</v>
      </c>
      <c r="M181" s="64">
        <v>68131</v>
      </c>
      <c r="N181" s="65">
        <v>64678</v>
      </c>
      <c r="O181" s="65">
        <f>46019+23448</f>
        <v>69467</v>
      </c>
      <c r="P181" s="65">
        <v>78524</v>
      </c>
      <c r="Q181" s="65">
        <v>62337</v>
      </c>
      <c r="R181" s="65">
        <v>75311</v>
      </c>
      <c r="S181" s="65">
        <v>89056</v>
      </c>
      <c r="T181" s="65">
        <v>67199</v>
      </c>
      <c r="U181" s="65">
        <v>72828</v>
      </c>
      <c r="V181" s="65">
        <v>74289</v>
      </c>
      <c r="W181" s="65">
        <v>75028</v>
      </c>
      <c r="X181" s="65">
        <v>77797</v>
      </c>
      <c r="Y181" s="65">
        <v>76166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</row>
    <row r="182" spans="1:86" ht="9.9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 t="s">
        <v>0</v>
      </c>
      <c r="N182" s="2"/>
      <c r="O182" s="2"/>
      <c r="P182" s="2" t="s">
        <v>0</v>
      </c>
      <c r="Q182" s="2"/>
      <c r="R182" s="2"/>
      <c r="S182" s="2"/>
      <c r="T182" s="2"/>
      <c r="U182" s="2"/>
      <c r="V182" s="2" t="s">
        <v>12</v>
      </c>
      <c r="W182" s="2"/>
      <c r="X182" s="2" t="s">
        <v>0</v>
      </c>
      <c r="Y182" s="2"/>
      <c r="Z182" s="2"/>
      <c r="AA182" s="2"/>
      <c r="AB182" s="2"/>
      <c r="AC182" s="2"/>
      <c r="AD182" s="2"/>
      <c r="AE182" s="2" t="s">
        <v>0</v>
      </c>
      <c r="AF182" s="2" t="s">
        <v>0</v>
      </c>
      <c r="AG182" s="2"/>
      <c r="AH182" s="2"/>
      <c r="AI182" s="2"/>
      <c r="AJ182" s="2"/>
      <c r="AK182" s="2"/>
      <c r="AL182" s="2" t="s">
        <v>0</v>
      </c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</row>
    <row r="183" spans="1:86" ht="9.9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 t="s">
        <v>0</v>
      </c>
      <c r="Q183" s="2"/>
      <c r="R183" s="2"/>
      <c r="S183" s="2"/>
      <c r="T183" s="2"/>
      <c r="U183" s="2"/>
      <c r="V183" s="2" t="s">
        <v>0</v>
      </c>
      <c r="W183" s="2"/>
      <c r="X183" s="2" t="s">
        <v>0</v>
      </c>
      <c r="Y183" s="2"/>
      <c r="Z183" s="2"/>
      <c r="AA183" s="2" t="s">
        <v>0</v>
      </c>
      <c r="AB183" s="2" t="s">
        <v>0</v>
      </c>
      <c r="AC183" s="2"/>
      <c r="AD183" s="2"/>
      <c r="AE183" s="2"/>
      <c r="AF183" s="2" t="s">
        <v>0</v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 t="s">
        <v>0</v>
      </c>
      <c r="AV183" s="2" t="s">
        <v>0</v>
      </c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</row>
    <row r="184" spans="1:86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</row>
    <row r="185" spans="1:86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</row>
    <row r="186" spans="1:86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</row>
    <row r="187" spans="1:86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</row>
    <row r="188" spans="1:86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</row>
    <row r="189" spans="1:86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</row>
    <row r="190" spans="1:86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</row>
    <row r="191" spans="1:86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</row>
    <row r="192" spans="1:86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</row>
    <row r="193" spans="1:86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</row>
    <row r="194" spans="1:86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</row>
    <row r="195" spans="1:86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</row>
    <row r="196" spans="1:86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</row>
    <row r="197" spans="1:86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</row>
    <row r="198" spans="1:86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</row>
    <row r="199" spans="1:86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</row>
    <row r="200" spans="1:86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</row>
    <row r="201" spans="1:86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</row>
    <row r="202" spans="1:86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</row>
  </sheetData>
  <mergeCells count="2">
    <mergeCell ref="N2:O3"/>
    <mergeCell ref="N5:O5"/>
  </mergeCells>
  <conditionalFormatting sqref="F9:F48">
    <cfRule type="dataBar" priority="32">
      <dataBar showValue="0">
        <cfvo type="min"/>
        <cfvo type="max"/>
        <color rgb="FF3BAC36"/>
      </dataBar>
      <extLst>
        <ext xmlns:x14="http://schemas.microsoft.com/office/spreadsheetml/2009/9/main" uri="{B025F937-C7B1-47D3-B67F-A62EFF666E3E}">
          <x14:id>{FC7C9478-F63D-405D-A46F-4BA80E376121}</x14:id>
        </ext>
      </extLst>
    </cfRule>
  </conditionalFormatting>
  <conditionalFormatting sqref="G9:G48">
    <cfRule type="dataBar" priority="30">
      <dataBar showValue="0">
        <cfvo type="min"/>
        <cfvo type="max"/>
        <color rgb="FF3BAC36"/>
      </dataBar>
      <extLst>
        <ext xmlns:x14="http://schemas.microsoft.com/office/spreadsheetml/2009/9/main" uri="{B025F937-C7B1-47D3-B67F-A62EFF666E3E}">
          <x14:id>{1A998557-399D-408E-8DF6-DC66AF9D73D7}</x14:id>
        </ext>
      </extLst>
    </cfRule>
  </conditionalFormatting>
  <hyperlinks>
    <hyperlink ref="A5" location="Content!A1" display="Back to content" xr:uid="{00000000-0004-0000-0100-000000000000}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7C9478-F63D-405D-A46F-4BA80E3761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F9:F48</xm:sqref>
        </x14:conditionalFormatting>
        <x14:conditionalFormatting xmlns:xm="http://schemas.microsoft.com/office/excel/2006/main">
          <x14:cfRule type="dataBar" id="{1A998557-399D-408E-8DF6-DC66AF9D7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166"/>
  <sheetViews>
    <sheetView showGridLines="0" workbookViewId="0">
      <selection activeCell="A6" sqref="A6"/>
    </sheetView>
  </sheetViews>
  <sheetFormatPr defaultColWidth="9.109375" defaultRowHeight="13.2" x14ac:dyDescent="0.25"/>
  <cols>
    <col min="1" max="1" width="22.6640625" customWidth="1"/>
    <col min="2" max="2" width="7.5546875" style="8" customWidth="1"/>
    <col min="3" max="14" width="11.6640625" customWidth="1"/>
    <col min="15" max="15" width="11.109375" bestFit="1" customWidth="1"/>
    <col min="16" max="16" width="10.44140625" bestFit="1" customWidth="1"/>
    <col min="17" max="17" width="12.109375" bestFit="1" customWidth="1"/>
  </cols>
  <sheetData>
    <row r="1" spans="1:20" x14ac:dyDescent="0.25">
      <c r="B1"/>
      <c r="E1" t="s">
        <v>0</v>
      </c>
    </row>
    <row r="2" spans="1:20" x14ac:dyDescent="0.25">
      <c r="B2"/>
      <c r="F2" t="s">
        <v>0</v>
      </c>
    </row>
    <row r="3" spans="1:20" x14ac:dyDescent="0.25">
      <c r="B3"/>
    </row>
    <row r="4" spans="1:20" x14ac:dyDescent="0.25">
      <c r="A4" s="7" t="s">
        <v>70</v>
      </c>
      <c r="B4"/>
    </row>
    <row r="5" spans="1:20" x14ac:dyDescent="0.25">
      <c r="B5"/>
    </row>
    <row r="6" spans="1:20" ht="56.4" x14ac:dyDescent="0.25">
      <c r="A6" s="52" t="s">
        <v>41</v>
      </c>
      <c r="B6" s="67" t="s">
        <v>72</v>
      </c>
      <c r="C6" s="53" t="s">
        <v>73</v>
      </c>
      <c r="D6" s="53" t="s">
        <v>74</v>
      </c>
      <c r="E6" s="53" t="s">
        <v>75</v>
      </c>
      <c r="F6" s="53" t="s">
        <v>76</v>
      </c>
      <c r="G6" s="53" t="s">
        <v>77</v>
      </c>
      <c r="H6" s="53" t="s">
        <v>78</v>
      </c>
      <c r="I6" s="53" t="s">
        <v>79</v>
      </c>
      <c r="J6" s="53" t="s">
        <v>80</v>
      </c>
      <c r="K6" s="53" t="s">
        <v>81</v>
      </c>
      <c r="L6" s="53" t="s">
        <v>82</v>
      </c>
      <c r="M6" s="53" t="s">
        <v>83</v>
      </c>
      <c r="N6" s="53" t="s">
        <v>84</v>
      </c>
      <c r="O6" s="49"/>
      <c r="P6" s="2" t="s">
        <v>0</v>
      </c>
      <c r="Q6" s="2"/>
      <c r="R6" s="2"/>
      <c r="S6" s="2"/>
      <c r="T6" s="2"/>
    </row>
    <row r="7" spans="1:20" ht="12" customHeight="1" x14ac:dyDescent="0.25">
      <c r="A7" s="54" t="s">
        <v>29</v>
      </c>
      <c r="B7" s="68" t="s">
        <v>254</v>
      </c>
      <c r="C7" s="57">
        <v>29302</v>
      </c>
      <c r="D7" s="57">
        <v>18616</v>
      </c>
      <c r="E7" s="57">
        <v>21932</v>
      </c>
      <c r="F7" s="57">
        <v>20121</v>
      </c>
      <c r="G7" s="57">
        <v>22364</v>
      </c>
      <c r="H7" s="57">
        <v>20387</v>
      </c>
      <c r="I7" s="57">
        <v>22960</v>
      </c>
      <c r="J7" s="57">
        <v>24476</v>
      </c>
      <c r="K7" s="57">
        <v>21660</v>
      </c>
      <c r="L7" s="57">
        <v>19020</v>
      </c>
      <c r="M7" s="57">
        <v>28138</v>
      </c>
      <c r="N7" s="57">
        <v>11871</v>
      </c>
      <c r="O7" s="91"/>
      <c r="P7" s="2"/>
      <c r="Q7" s="2" t="s">
        <v>0</v>
      </c>
      <c r="R7" s="2"/>
    </row>
    <row r="8" spans="1:20" ht="12" customHeight="1" x14ac:dyDescent="0.25">
      <c r="A8" s="54" t="s">
        <v>29</v>
      </c>
      <c r="B8" s="68" t="s">
        <v>273</v>
      </c>
      <c r="C8" s="57">
        <v>32486</v>
      </c>
      <c r="D8" s="57">
        <v>19085</v>
      </c>
      <c r="E8" s="57">
        <v>20973</v>
      </c>
      <c r="F8" s="57">
        <v>21448</v>
      </c>
      <c r="G8" s="57">
        <v>23548</v>
      </c>
      <c r="H8" s="57">
        <v>24579</v>
      </c>
      <c r="I8" s="57">
        <v>27708</v>
      </c>
      <c r="J8" s="57">
        <v>23181</v>
      </c>
      <c r="K8" s="57">
        <v>19154</v>
      </c>
      <c r="L8" s="57">
        <v>25476</v>
      </c>
      <c r="M8" s="57">
        <v>21760</v>
      </c>
      <c r="N8" s="57">
        <v>9419</v>
      </c>
      <c r="O8" s="91"/>
      <c r="Q8" s="2" t="s">
        <v>0</v>
      </c>
      <c r="R8" s="2"/>
    </row>
    <row r="9" spans="1:20" ht="12" customHeight="1" x14ac:dyDescent="0.25">
      <c r="A9" s="54" t="s">
        <v>29</v>
      </c>
      <c r="B9" s="68" t="s">
        <v>288</v>
      </c>
      <c r="C9" s="57">
        <v>22076</v>
      </c>
      <c r="D9" s="57">
        <v>15306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91"/>
      <c r="Q9" s="2" t="s">
        <v>0</v>
      </c>
      <c r="R9" s="2"/>
    </row>
    <row r="10" spans="1:20" ht="12" customHeight="1" x14ac:dyDescent="0.25">
      <c r="A10" s="54" t="s">
        <v>28</v>
      </c>
      <c r="B10" s="68" t="s">
        <v>254</v>
      </c>
      <c r="C10" s="57">
        <v>55334</v>
      </c>
      <c r="D10" s="57">
        <v>60620</v>
      </c>
      <c r="E10" s="57">
        <v>72892</v>
      </c>
      <c r="F10" s="57">
        <v>57814</v>
      </c>
      <c r="G10" s="57">
        <v>68711</v>
      </c>
      <c r="H10" s="57">
        <v>70957</v>
      </c>
      <c r="I10" s="57">
        <v>60727</v>
      </c>
      <c r="J10" s="57">
        <v>68568</v>
      </c>
      <c r="K10" s="57">
        <v>67133</v>
      </c>
      <c r="L10" s="57">
        <v>61784</v>
      </c>
      <c r="M10" s="57">
        <v>69112</v>
      </c>
      <c r="N10" s="57">
        <v>64036</v>
      </c>
      <c r="O10" s="91"/>
      <c r="P10" s="51"/>
      <c r="Q10" s="2"/>
      <c r="R10" s="2"/>
    </row>
    <row r="11" spans="1:20" ht="12" customHeight="1" x14ac:dyDescent="0.25">
      <c r="A11" s="54" t="s">
        <v>28</v>
      </c>
      <c r="B11" s="68" t="s">
        <v>273</v>
      </c>
      <c r="C11" s="57">
        <v>63300</v>
      </c>
      <c r="D11" s="57">
        <v>64323</v>
      </c>
      <c r="E11" s="57">
        <v>70708</v>
      </c>
      <c r="F11" s="57">
        <v>61222</v>
      </c>
      <c r="G11" s="57">
        <v>77131</v>
      </c>
      <c r="H11" s="57">
        <v>89456</v>
      </c>
      <c r="I11" s="57">
        <v>74159</v>
      </c>
      <c r="J11" s="57">
        <v>81649</v>
      </c>
      <c r="K11" s="57">
        <v>82663</v>
      </c>
      <c r="L11" s="57">
        <v>76875</v>
      </c>
      <c r="M11" s="57">
        <v>80817</v>
      </c>
      <c r="N11" s="57">
        <v>68520</v>
      </c>
      <c r="O11" s="91"/>
      <c r="P11" s="51"/>
      <c r="Q11" s="2" t="s">
        <v>0</v>
      </c>
      <c r="R11" s="2"/>
    </row>
    <row r="12" spans="1:20" ht="12" customHeight="1" x14ac:dyDescent="0.25">
      <c r="A12" s="54" t="s">
        <v>28</v>
      </c>
      <c r="B12" s="68" t="s">
        <v>288</v>
      </c>
      <c r="C12" s="57">
        <v>66264</v>
      </c>
      <c r="D12" s="57">
        <v>77383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91"/>
      <c r="P12" s="51"/>
      <c r="Q12" s="2" t="s">
        <v>0</v>
      </c>
      <c r="R12" s="2"/>
    </row>
    <row r="13" spans="1:20" ht="12" customHeight="1" x14ac:dyDescent="0.25">
      <c r="A13" s="54" t="s">
        <v>42</v>
      </c>
      <c r="B13" s="68" t="s">
        <v>254</v>
      </c>
      <c r="C13" s="57">
        <v>15674</v>
      </c>
      <c r="D13" s="57">
        <v>16159</v>
      </c>
      <c r="E13" s="57">
        <v>20720</v>
      </c>
      <c r="F13" s="57">
        <v>16424</v>
      </c>
      <c r="G13" s="57">
        <v>17166</v>
      </c>
      <c r="H13" s="57">
        <v>22608</v>
      </c>
      <c r="I13" s="57">
        <v>16096</v>
      </c>
      <c r="J13" s="57">
        <v>17841</v>
      </c>
      <c r="K13" s="57">
        <v>20794</v>
      </c>
      <c r="L13" s="57">
        <v>15788</v>
      </c>
      <c r="M13" s="57">
        <v>18378</v>
      </c>
      <c r="N13" s="57">
        <v>17602</v>
      </c>
      <c r="O13" s="91"/>
      <c r="P13" s="51"/>
      <c r="Q13" s="2" t="s">
        <v>0</v>
      </c>
      <c r="R13" s="2"/>
    </row>
    <row r="14" spans="1:20" ht="12" customHeight="1" x14ac:dyDescent="0.25">
      <c r="A14" s="54" t="s">
        <v>42</v>
      </c>
      <c r="B14" s="68" t="s">
        <v>273</v>
      </c>
      <c r="C14" s="57">
        <v>18850</v>
      </c>
      <c r="D14" s="57">
        <v>17895</v>
      </c>
      <c r="E14" s="57">
        <v>26307</v>
      </c>
      <c r="F14" s="57">
        <v>18504</v>
      </c>
      <c r="G14" s="57">
        <v>20623</v>
      </c>
      <c r="H14" s="57">
        <v>24511</v>
      </c>
      <c r="I14" s="57">
        <v>17643</v>
      </c>
      <c r="J14" s="57">
        <v>18852</v>
      </c>
      <c r="K14" s="57">
        <v>19701</v>
      </c>
      <c r="L14" s="57">
        <v>18867</v>
      </c>
      <c r="M14" s="57">
        <v>19010</v>
      </c>
      <c r="N14" s="57">
        <v>18387</v>
      </c>
      <c r="O14" s="91"/>
      <c r="P14" s="51"/>
      <c r="Q14" s="2"/>
      <c r="R14" s="2"/>
    </row>
    <row r="15" spans="1:20" ht="12" customHeight="1" x14ac:dyDescent="0.25">
      <c r="A15" s="54" t="s">
        <v>42</v>
      </c>
      <c r="B15" s="68" t="s">
        <v>288</v>
      </c>
      <c r="C15" s="57">
        <v>17552</v>
      </c>
      <c r="D15" s="57">
        <v>20010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91"/>
      <c r="P15" s="51"/>
    </row>
    <row r="16" spans="1:20" ht="12" customHeight="1" x14ac:dyDescent="0.25">
      <c r="A16" s="54" t="s">
        <v>25</v>
      </c>
      <c r="B16" s="68" t="s">
        <v>254</v>
      </c>
      <c r="C16" s="57">
        <v>5161</v>
      </c>
      <c r="D16" s="57">
        <v>4417</v>
      </c>
      <c r="E16" s="57">
        <v>5796</v>
      </c>
      <c r="F16" s="57">
        <v>5421</v>
      </c>
      <c r="G16" s="57">
        <v>6418</v>
      </c>
      <c r="H16" s="57">
        <v>6011</v>
      </c>
      <c r="I16" s="57">
        <v>5185</v>
      </c>
      <c r="J16" s="57">
        <v>5511</v>
      </c>
      <c r="K16" s="57">
        <v>5508</v>
      </c>
      <c r="L16" s="57">
        <v>4789</v>
      </c>
      <c r="M16" s="57">
        <v>4681</v>
      </c>
      <c r="N16" s="57">
        <v>4930</v>
      </c>
      <c r="O16" s="91"/>
      <c r="P16" s="51"/>
    </row>
    <row r="17" spans="1:17" ht="12" customHeight="1" x14ac:dyDescent="0.25">
      <c r="A17" s="54" t="s">
        <v>25</v>
      </c>
      <c r="B17" s="68" t="s">
        <v>273</v>
      </c>
      <c r="C17" s="57">
        <v>5184</v>
      </c>
      <c r="D17" s="57">
        <v>5026</v>
      </c>
      <c r="E17" s="57">
        <v>6589</v>
      </c>
      <c r="F17" s="57">
        <v>6003</v>
      </c>
      <c r="G17" s="57">
        <v>6837</v>
      </c>
      <c r="H17" s="57">
        <v>7075</v>
      </c>
      <c r="I17" s="57">
        <v>6003</v>
      </c>
      <c r="J17" s="57">
        <v>5443</v>
      </c>
      <c r="K17" s="57">
        <v>5381</v>
      </c>
      <c r="L17" s="57">
        <v>5585</v>
      </c>
      <c r="M17" s="57">
        <v>5547</v>
      </c>
      <c r="N17" s="57">
        <v>4758</v>
      </c>
      <c r="O17" s="91"/>
      <c r="P17" s="51"/>
    </row>
    <row r="18" spans="1:17" ht="12" customHeight="1" x14ac:dyDescent="0.25">
      <c r="A18" s="54" t="s">
        <v>25</v>
      </c>
      <c r="B18" s="68" t="s">
        <v>288</v>
      </c>
      <c r="C18" s="57">
        <v>4480</v>
      </c>
      <c r="D18" s="57">
        <v>4676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91"/>
    </row>
    <row r="19" spans="1:17" ht="12" customHeight="1" x14ac:dyDescent="0.25">
      <c r="A19" s="54" t="s">
        <v>20</v>
      </c>
      <c r="B19" s="68" t="s">
        <v>254</v>
      </c>
      <c r="C19" s="57">
        <v>37247</v>
      </c>
      <c r="D19" s="57">
        <v>35910</v>
      </c>
      <c r="E19" s="57">
        <v>41336</v>
      </c>
      <c r="F19" s="57">
        <v>31743</v>
      </c>
      <c r="G19" s="57">
        <v>32559</v>
      </c>
      <c r="H19" s="57">
        <v>38404</v>
      </c>
      <c r="I19" s="57">
        <v>29882</v>
      </c>
      <c r="J19" s="57">
        <v>31885</v>
      </c>
      <c r="K19" s="57">
        <v>34597</v>
      </c>
      <c r="L19" s="57">
        <v>33916</v>
      </c>
      <c r="M19" s="57">
        <v>33213</v>
      </c>
      <c r="N19" s="57">
        <v>27705</v>
      </c>
      <c r="O19" s="91"/>
    </row>
    <row r="20" spans="1:17" ht="12" customHeight="1" x14ac:dyDescent="0.25">
      <c r="A20" s="54" t="s">
        <v>20</v>
      </c>
      <c r="B20" s="68" t="s">
        <v>273</v>
      </c>
      <c r="C20" s="57">
        <v>43573</v>
      </c>
      <c r="D20" s="57">
        <v>44060</v>
      </c>
      <c r="E20" s="57">
        <v>57000</v>
      </c>
      <c r="F20" s="57">
        <v>44048</v>
      </c>
      <c r="G20" s="57">
        <v>45761</v>
      </c>
      <c r="H20" s="57">
        <v>56527</v>
      </c>
      <c r="I20" s="57">
        <v>39196</v>
      </c>
      <c r="J20" s="57">
        <v>39922</v>
      </c>
      <c r="K20" s="57">
        <v>42785</v>
      </c>
      <c r="L20" s="57">
        <v>42728</v>
      </c>
      <c r="M20" s="57">
        <v>41190</v>
      </c>
      <c r="N20" s="57">
        <v>29063</v>
      </c>
      <c r="O20" s="91"/>
    </row>
    <row r="21" spans="1:17" ht="12" customHeight="1" x14ac:dyDescent="0.25">
      <c r="A21" s="54" t="s">
        <v>20</v>
      </c>
      <c r="B21" s="68" t="s">
        <v>288</v>
      </c>
      <c r="C21" s="57">
        <v>50508</v>
      </c>
      <c r="D21" s="57">
        <v>48241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91"/>
    </row>
    <row r="22" spans="1:17" ht="12" customHeight="1" x14ac:dyDescent="0.25">
      <c r="A22" s="54" t="s">
        <v>8</v>
      </c>
      <c r="B22" s="68" t="s">
        <v>254</v>
      </c>
      <c r="C22" s="57">
        <v>92212</v>
      </c>
      <c r="D22" s="57">
        <v>97590</v>
      </c>
      <c r="E22" s="57">
        <v>108272</v>
      </c>
      <c r="F22" s="57">
        <v>109707</v>
      </c>
      <c r="G22" s="57">
        <v>139483</v>
      </c>
      <c r="H22" s="57">
        <v>133587</v>
      </c>
      <c r="I22" s="57">
        <v>135431</v>
      </c>
      <c r="J22" s="57">
        <v>154947</v>
      </c>
      <c r="K22" s="57">
        <v>143210</v>
      </c>
      <c r="L22" s="57">
        <v>137003</v>
      </c>
      <c r="M22" s="57">
        <v>158766</v>
      </c>
      <c r="N22" s="57">
        <v>164284</v>
      </c>
      <c r="O22" s="91"/>
    </row>
    <row r="23" spans="1:17" ht="12" customHeight="1" x14ac:dyDescent="0.25">
      <c r="A23" s="54" t="s">
        <v>8</v>
      </c>
      <c r="B23" s="68" t="s">
        <v>273</v>
      </c>
      <c r="C23" s="57">
        <v>103872</v>
      </c>
      <c r="D23" s="57">
        <v>95867</v>
      </c>
      <c r="E23" s="57">
        <v>146174</v>
      </c>
      <c r="F23" s="57">
        <v>118127</v>
      </c>
      <c r="G23" s="57">
        <v>127508</v>
      </c>
      <c r="H23" s="57">
        <v>142218</v>
      </c>
      <c r="I23" s="57">
        <v>176742</v>
      </c>
      <c r="J23" s="57">
        <v>153478</v>
      </c>
      <c r="K23" s="57">
        <v>145766</v>
      </c>
      <c r="L23" s="57">
        <v>163134</v>
      </c>
      <c r="M23" s="57">
        <v>160693</v>
      </c>
      <c r="N23" s="57">
        <v>186578</v>
      </c>
      <c r="O23" s="91"/>
    </row>
    <row r="24" spans="1:17" ht="12" customHeight="1" x14ac:dyDescent="0.25">
      <c r="A24" s="54" t="s">
        <v>8</v>
      </c>
      <c r="B24" s="68" t="s">
        <v>288</v>
      </c>
      <c r="C24" s="57">
        <v>118503</v>
      </c>
      <c r="D24" s="57">
        <v>120315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91"/>
    </row>
    <row r="25" spans="1:17" ht="12" customHeight="1" x14ac:dyDescent="0.25">
      <c r="A25" s="58" t="s">
        <v>27</v>
      </c>
      <c r="B25" s="68" t="s">
        <v>254</v>
      </c>
      <c r="C25" s="57">
        <v>2034</v>
      </c>
      <c r="D25" s="57">
        <v>1933</v>
      </c>
      <c r="E25" s="57">
        <v>2707</v>
      </c>
      <c r="F25" s="57">
        <v>2357</v>
      </c>
      <c r="G25" s="57">
        <v>2695</v>
      </c>
      <c r="H25" s="57">
        <v>2823</v>
      </c>
      <c r="I25" s="57">
        <v>2836</v>
      </c>
      <c r="J25" s="57">
        <v>2474</v>
      </c>
      <c r="K25" s="57">
        <v>2116</v>
      </c>
      <c r="L25" s="57">
        <v>2388</v>
      </c>
      <c r="M25" s="57">
        <v>2311</v>
      </c>
      <c r="N25" s="57">
        <v>2009</v>
      </c>
      <c r="O25" s="91"/>
    </row>
    <row r="26" spans="1:17" ht="12" customHeight="1" x14ac:dyDescent="0.25">
      <c r="A26" s="58" t="s">
        <v>27</v>
      </c>
      <c r="B26" s="68" t="s">
        <v>273</v>
      </c>
      <c r="C26" s="57">
        <v>2513</v>
      </c>
      <c r="D26" s="57">
        <v>2588</v>
      </c>
      <c r="E26" s="57">
        <v>2755</v>
      </c>
      <c r="F26" s="57">
        <v>2838</v>
      </c>
      <c r="G26" s="57">
        <v>3135</v>
      </c>
      <c r="H26" s="57">
        <v>3804</v>
      </c>
      <c r="I26" s="57">
        <v>3359</v>
      </c>
      <c r="J26" s="57">
        <v>3414</v>
      </c>
      <c r="K26" s="57">
        <v>2976</v>
      </c>
      <c r="L26" s="57">
        <v>3775</v>
      </c>
      <c r="M26" s="57">
        <v>3541</v>
      </c>
      <c r="N26" s="57">
        <v>3026</v>
      </c>
      <c r="O26" s="91"/>
    </row>
    <row r="27" spans="1:17" ht="12" customHeight="1" x14ac:dyDescent="0.25">
      <c r="A27" s="58" t="s">
        <v>27</v>
      </c>
      <c r="B27" s="68" t="s">
        <v>288</v>
      </c>
      <c r="C27" s="57">
        <v>3982</v>
      </c>
      <c r="D27" s="57">
        <v>3607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91"/>
    </row>
    <row r="28" spans="1:17" ht="12" customHeight="1" x14ac:dyDescent="0.25">
      <c r="A28" s="54" t="s">
        <v>10</v>
      </c>
      <c r="B28" s="68" t="s">
        <v>254</v>
      </c>
      <c r="C28" s="57">
        <v>14798</v>
      </c>
      <c r="D28" s="57">
        <v>17365</v>
      </c>
      <c r="E28" s="57">
        <v>25310</v>
      </c>
      <c r="F28" s="57">
        <v>26935</v>
      </c>
      <c r="G28" s="57">
        <v>26030</v>
      </c>
      <c r="H28" s="57">
        <v>13410</v>
      </c>
      <c r="I28" s="57">
        <v>26109</v>
      </c>
      <c r="J28" s="57">
        <v>26750</v>
      </c>
      <c r="K28" s="57">
        <v>22237</v>
      </c>
      <c r="L28" s="57">
        <v>22457</v>
      </c>
      <c r="M28" s="57">
        <v>20097</v>
      </c>
      <c r="N28" s="57">
        <v>19674</v>
      </c>
      <c r="O28" s="91"/>
      <c r="Q28" s="3" t="s">
        <v>0</v>
      </c>
    </row>
    <row r="29" spans="1:17" ht="12" customHeight="1" x14ac:dyDescent="0.25">
      <c r="A29" s="54" t="s">
        <v>10</v>
      </c>
      <c r="B29" s="68" t="s">
        <v>273</v>
      </c>
      <c r="C29" s="57">
        <v>14282</v>
      </c>
      <c r="D29" s="57">
        <v>14776</v>
      </c>
      <c r="E29" s="57">
        <v>22828</v>
      </c>
      <c r="F29" s="57">
        <v>20385</v>
      </c>
      <c r="G29" s="57">
        <v>24485</v>
      </c>
      <c r="H29" s="57">
        <v>27322</v>
      </c>
      <c r="I29" s="57">
        <v>22028</v>
      </c>
      <c r="J29" s="57">
        <v>24018</v>
      </c>
      <c r="K29" s="57">
        <v>25687</v>
      </c>
      <c r="L29" s="57">
        <v>23815</v>
      </c>
      <c r="M29" s="57">
        <v>21582</v>
      </c>
      <c r="N29" s="57">
        <v>21908</v>
      </c>
      <c r="O29" s="91"/>
    </row>
    <row r="30" spans="1:17" ht="12" customHeight="1" x14ac:dyDescent="0.25">
      <c r="A30" s="54" t="s">
        <v>10</v>
      </c>
      <c r="B30" s="68" t="s">
        <v>288</v>
      </c>
      <c r="C30" s="57">
        <v>16055</v>
      </c>
      <c r="D30" s="57">
        <v>17716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91"/>
    </row>
    <row r="31" spans="1:17" ht="12" customHeight="1" x14ac:dyDescent="0.25">
      <c r="A31" s="54" t="s">
        <v>6</v>
      </c>
      <c r="B31" s="68" t="s">
        <v>254</v>
      </c>
      <c r="C31" s="57">
        <v>2186344</v>
      </c>
      <c r="D31" s="57">
        <v>1487442</v>
      </c>
      <c r="E31" s="57">
        <v>1864360</v>
      </c>
      <c r="F31" s="57">
        <v>965120</v>
      </c>
      <c r="G31" s="57">
        <v>1622879</v>
      </c>
      <c r="H31" s="57">
        <v>2221604</v>
      </c>
      <c r="I31" s="57">
        <v>2174325</v>
      </c>
      <c r="J31" s="57">
        <v>2125260</v>
      </c>
      <c r="K31" s="57">
        <v>2331769</v>
      </c>
      <c r="L31" s="57">
        <v>2231197</v>
      </c>
      <c r="M31" s="57">
        <v>2074816</v>
      </c>
      <c r="N31" s="57">
        <v>2278171</v>
      </c>
      <c r="O31" s="91"/>
    </row>
    <row r="32" spans="1:17" ht="12" customHeight="1" x14ac:dyDescent="0.25">
      <c r="A32" s="54" t="s">
        <v>6</v>
      </c>
      <c r="B32" s="68" t="s">
        <v>273</v>
      </c>
      <c r="C32" s="57">
        <v>1468597</v>
      </c>
      <c r="D32" s="57">
        <v>1652664</v>
      </c>
      <c r="E32" s="57">
        <v>2016942</v>
      </c>
      <c r="F32" s="57">
        <v>1811079</v>
      </c>
      <c r="G32" s="57">
        <v>2051123</v>
      </c>
      <c r="H32" s="57">
        <v>2267821</v>
      </c>
      <c r="I32" s="57">
        <v>2099850</v>
      </c>
      <c r="J32" s="57">
        <v>2272783</v>
      </c>
      <c r="K32" s="57">
        <v>2487274</v>
      </c>
      <c r="L32" s="57">
        <v>2487873</v>
      </c>
      <c r="M32" s="57">
        <v>2604370</v>
      </c>
      <c r="N32" s="57">
        <v>2842448</v>
      </c>
      <c r="O32" s="91"/>
    </row>
    <row r="33" spans="1:16" ht="12" customHeight="1" x14ac:dyDescent="0.25">
      <c r="A33" s="54" t="s">
        <v>6</v>
      </c>
      <c r="B33" s="68" t="s">
        <v>288</v>
      </c>
      <c r="C33" s="57">
        <v>2115435</v>
      </c>
      <c r="D33" s="57">
        <v>1332815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91"/>
    </row>
    <row r="34" spans="1:16" ht="12" customHeight="1" x14ac:dyDescent="0.25">
      <c r="A34" s="54" t="s">
        <v>50</v>
      </c>
      <c r="B34" s="68" t="s">
        <v>254</v>
      </c>
      <c r="C34" s="57">
        <v>16263</v>
      </c>
      <c r="D34" s="57">
        <v>14225</v>
      </c>
      <c r="E34" s="57">
        <v>16903</v>
      </c>
      <c r="F34" s="57">
        <v>14714</v>
      </c>
      <c r="G34" s="57">
        <v>18073</v>
      </c>
      <c r="H34" s="57">
        <v>18738</v>
      </c>
      <c r="I34" s="57">
        <v>13448</v>
      </c>
      <c r="J34" s="57">
        <v>16581</v>
      </c>
      <c r="K34" s="57">
        <v>14898</v>
      </c>
      <c r="L34" s="57">
        <v>16283</v>
      </c>
      <c r="M34" s="57">
        <v>17408</v>
      </c>
      <c r="N34" s="57">
        <v>14553</v>
      </c>
      <c r="O34" s="91"/>
      <c r="P34" s="51"/>
    </row>
    <row r="35" spans="1:16" ht="12" customHeight="1" x14ac:dyDescent="0.25">
      <c r="A35" s="54" t="s">
        <v>50</v>
      </c>
      <c r="B35" s="68" t="s">
        <v>273</v>
      </c>
      <c r="C35" s="57">
        <v>17137</v>
      </c>
      <c r="D35" s="57">
        <v>16826</v>
      </c>
      <c r="E35" s="57">
        <v>22378</v>
      </c>
      <c r="F35" s="57">
        <v>18429</v>
      </c>
      <c r="G35" s="57">
        <v>20298</v>
      </c>
      <c r="H35" s="57">
        <v>20480</v>
      </c>
      <c r="I35" s="57">
        <v>16090</v>
      </c>
      <c r="J35" s="57">
        <v>18718</v>
      </c>
      <c r="K35" s="57">
        <v>17208</v>
      </c>
      <c r="L35" s="57">
        <v>19322</v>
      </c>
      <c r="M35" s="57">
        <v>19411</v>
      </c>
      <c r="N35" s="57">
        <v>15125</v>
      </c>
      <c r="O35" s="91"/>
      <c r="P35" s="51"/>
    </row>
    <row r="36" spans="1:16" ht="12" customHeight="1" x14ac:dyDescent="0.25">
      <c r="A36" s="54" t="s">
        <v>50</v>
      </c>
      <c r="B36" s="68" t="s">
        <v>288</v>
      </c>
      <c r="C36" s="57">
        <v>20361</v>
      </c>
      <c r="D36" s="57">
        <v>18328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91"/>
      <c r="P36" s="51"/>
    </row>
    <row r="37" spans="1:16" ht="12" customHeight="1" x14ac:dyDescent="0.25">
      <c r="A37" s="54" t="s">
        <v>43</v>
      </c>
      <c r="B37" s="68" t="s">
        <v>254</v>
      </c>
      <c r="C37" s="57">
        <v>25245</v>
      </c>
      <c r="D37" s="57">
        <v>24655</v>
      </c>
      <c r="E37" s="57">
        <v>38398</v>
      </c>
      <c r="F37" s="57">
        <v>27177</v>
      </c>
      <c r="G37" s="57">
        <v>32975</v>
      </c>
      <c r="H37" s="57">
        <v>37046</v>
      </c>
      <c r="I37" s="57">
        <v>22619</v>
      </c>
      <c r="J37" s="57">
        <v>32225</v>
      </c>
      <c r="K37" s="57">
        <v>34450</v>
      </c>
      <c r="L37" s="57">
        <v>29604</v>
      </c>
      <c r="M37" s="57">
        <v>39026</v>
      </c>
      <c r="N37" s="57">
        <v>60902</v>
      </c>
      <c r="O37" s="91"/>
      <c r="P37" s="51"/>
    </row>
    <row r="38" spans="1:16" ht="12" customHeight="1" x14ac:dyDescent="0.25">
      <c r="A38" s="54" t="s">
        <v>43</v>
      </c>
      <c r="B38" s="68" t="s">
        <v>273</v>
      </c>
      <c r="C38" s="57">
        <v>19483</v>
      </c>
      <c r="D38" s="57">
        <v>25150</v>
      </c>
      <c r="E38" s="57">
        <v>45003</v>
      </c>
      <c r="F38" s="57">
        <v>28346</v>
      </c>
      <c r="G38" s="57">
        <v>55839</v>
      </c>
      <c r="H38" s="57">
        <v>62513</v>
      </c>
      <c r="I38" s="57">
        <v>25153</v>
      </c>
      <c r="J38" s="57">
        <v>32413</v>
      </c>
      <c r="K38" s="57">
        <v>32774</v>
      </c>
      <c r="L38" s="57">
        <v>28588</v>
      </c>
      <c r="M38" s="57">
        <v>33373</v>
      </c>
      <c r="N38" s="57">
        <v>37167</v>
      </c>
      <c r="O38" s="91"/>
      <c r="P38" s="51"/>
    </row>
    <row r="39" spans="1:16" ht="12" customHeight="1" x14ac:dyDescent="0.25">
      <c r="A39" s="54" t="s">
        <v>43</v>
      </c>
      <c r="B39" s="68" t="s">
        <v>288</v>
      </c>
      <c r="C39" s="57">
        <v>20559</v>
      </c>
      <c r="D39" s="57">
        <v>23985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91"/>
      <c r="P39" s="51"/>
    </row>
    <row r="40" spans="1:16" ht="12" customHeight="1" x14ac:dyDescent="0.25">
      <c r="A40" s="54" t="s">
        <v>18</v>
      </c>
      <c r="B40" s="68" t="s">
        <v>254</v>
      </c>
      <c r="C40" s="57">
        <v>102906</v>
      </c>
      <c r="D40" s="57">
        <v>115403</v>
      </c>
      <c r="E40" s="57">
        <v>147098</v>
      </c>
      <c r="F40" s="57">
        <v>108733</v>
      </c>
      <c r="G40" s="57">
        <v>126819</v>
      </c>
      <c r="H40" s="57">
        <v>171112</v>
      </c>
      <c r="I40" s="57">
        <v>107551</v>
      </c>
      <c r="J40" s="57">
        <v>91411</v>
      </c>
      <c r="K40" s="57">
        <v>141155</v>
      </c>
      <c r="L40" s="57">
        <v>124998</v>
      </c>
      <c r="M40" s="57">
        <v>133970</v>
      </c>
      <c r="N40" s="57">
        <v>158027</v>
      </c>
      <c r="O40" s="91"/>
      <c r="P40" s="51"/>
    </row>
    <row r="41" spans="1:16" ht="12" customHeight="1" x14ac:dyDescent="0.25">
      <c r="A41" s="54" t="s">
        <v>18</v>
      </c>
      <c r="B41" s="68" t="s">
        <v>273</v>
      </c>
      <c r="C41" s="57">
        <v>111976</v>
      </c>
      <c r="D41" s="57">
        <v>126199</v>
      </c>
      <c r="E41" s="57">
        <v>182729</v>
      </c>
      <c r="F41" s="57">
        <v>132510</v>
      </c>
      <c r="G41" s="57">
        <v>145538</v>
      </c>
      <c r="H41" s="57">
        <v>190854</v>
      </c>
      <c r="I41" s="57">
        <v>128948</v>
      </c>
      <c r="J41" s="57">
        <v>113567</v>
      </c>
      <c r="K41" s="57">
        <v>156303</v>
      </c>
      <c r="L41" s="57">
        <v>152421</v>
      </c>
      <c r="M41" s="57">
        <v>152717</v>
      </c>
      <c r="N41" s="57">
        <v>181010</v>
      </c>
      <c r="O41" s="91"/>
      <c r="P41" s="51"/>
    </row>
    <row r="42" spans="1:16" ht="12" customHeight="1" x14ac:dyDescent="0.25">
      <c r="A42" s="54" t="s">
        <v>18</v>
      </c>
      <c r="B42" s="68" t="s">
        <v>288</v>
      </c>
      <c r="C42" s="57">
        <v>122290</v>
      </c>
      <c r="D42" s="57">
        <v>142602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91"/>
    </row>
    <row r="43" spans="1:16" ht="12" customHeight="1" x14ac:dyDescent="0.25">
      <c r="A43" s="54" t="s">
        <v>15</v>
      </c>
      <c r="B43" s="68" t="s">
        <v>254</v>
      </c>
      <c r="C43" s="57">
        <v>184112</v>
      </c>
      <c r="D43" s="57">
        <v>200512</v>
      </c>
      <c r="E43" s="57">
        <v>241330</v>
      </c>
      <c r="F43" s="57">
        <v>180264</v>
      </c>
      <c r="G43" s="57">
        <v>207199</v>
      </c>
      <c r="H43" s="57">
        <v>224558</v>
      </c>
      <c r="I43" s="57">
        <v>205911</v>
      </c>
      <c r="J43" s="57">
        <v>199183</v>
      </c>
      <c r="K43" s="57">
        <v>224816</v>
      </c>
      <c r="L43" s="57">
        <v>208642</v>
      </c>
      <c r="M43" s="57">
        <v>260512</v>
      </c>
      <c r="N43" s="57">
        <v>314318</v>
      </c>
      <c r="O43" s="91"/>
    </row>
    <row r="44" spans="1:16" ht="12" customHeight="1" x14ac:dyDescent="0.25">
      <c r="A44" s="54" t="s">
        <v>15</v>
      </c>
      <c r="B44" s="68" t="s">
        <v>273</v>
      </c>
      <c r="C44" s="57">
        <v>179247</v>
      </c>
      <c r="D44" s="57">
        <v>206210</v>
      </c>
      <c r="E44" s="57">
        <v>281361</v>
      </c>
      <c r="F44" s="57">
        <v>202947</v>
      </c>
      <c r="G44" s="57">
        <v>246966</v>
      </c>
      <c r="H44" s="57">
        <v>280139</v>
      </c>
      <c r="I44" s="57">
        <v>243277</v>
      </c>
      <c r="J44" s="57">
        <v>273417</v>
      </c>
      <c r="K44" s="57">
        <v>224502</v>
      </c>
      <c r="L44" s="57">
        <v>218959</v>
      </c>
      <c r="M44" s="57">
        <v>245701</v>
      </c>
      <c r="N44" s="57">
        <v>241883</v>
      </c>
      <c r="O44" s="91"/>
    </row>
    <row r="45" spans="1:16" ht="12" customHeight="1" x14ac:dyDescent="0.25">
      <c r="A45" s="54" t="s">
        <v>15</v>
      </c>
      <c r="B45" s="68" t="s">
        <v>288</v>
      </c>
      <c r="C45" s="57">
        <v>213553</v>
      </c>
      <c r="D45" s="57">
        <v>217388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91"/>
    </row>
    <row r="46" spans="1:16" ht="12" customHeight="1" x14ac:dyDescent="0.25">
      <c r="A46" s="54" t="s">
        <v>44</v>
      </c>
      <c r="B46" s="68" t="s">
        <v>254</v>
      </c>
      <c r="C46" s="57">
        <v>5521</v>
      </c>
      <c r="D46" s="57">
        <v>8551</v>
      </c>
      <c r="E46" s="57">
        <v>8355</v>
      </c>
      <c r="F46" s="57">
        <v>9289</v>
      </c>
      <c r="G46" s="57">
        <v>11991</v>
      </c>
      <c r="H46" s="57">
        <v>11091</v>
      </c>
      <c r="I46" s="57">
        <v>10874</v>
      </c>
      <c r="J46" s="57">
        <v>8658</v>
      </c>
      <c r="K46" s="57">
        <v>8606</v>
      </c>
      <c r="L46" s="57">
        <v>7790</v>
      </c>
      <c r="M46" s="57">
        <v>8071</v>
      </c>
      <c r="N46" s="57">
        <v>6486</v>
      </c>
      <c r="O46" s="91"/>
    </row>
    <row r="47" spans="1:16" ht="12" customHeight="1" x14ac:dyDescent="0.25">
      <c r="A47" s="54" t="s">
        <v>44</v>
      </c>
      <c r="B47" s="68" t="s">
        <v>273</v>
      </c>
      <c r="C47" s="57">
        <v>10532</v>
      </c>
      <c r="D47" s="57">
        <v>9956</v>
      </c>
      <c r="E47" s="57">
        <v>13284</v>
      </c>
      <c r="F47" s="57">
        <v>10239</v>
      </c>
      <c r="G47" s="57">
        <v>12957</v>
      </c>
      <c r="H47" s="57">
        <v>13394</v>
      </c>
      <c r="I47" s="57">
        <v>12380</v>
      </c>
      <c r="J47" s="57">
        <v>10368</v>
      </c>
      <c r="K47" s="57">
        <v>11400</v>
      </c>
      <c r="L47" s="57">
        <v>11282</v>
      </c>
      <c r="M47" s="57">
        <v>10452</v>
      </c>
      <c r="N47" s="57">
        <v>8240</v>
      </c>
      <c r="O47" s="91"/>
    </row>
    <row r="48" spans="1:16" ht="12" customHeight="1" x14ac:dyDescent="0.25">
      <c r="A48" s="54" t="s">
        <v>44</v>
      </c>
      <c r="B48" s="68" t="s">
        <v>288</v>
      </c>
      <c r="C48" s="57">
        <v>12752</v>
      </c>
      <c r="D48" s="57">
        <v>11461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91"/>
    </row>
    <row r="49" spans="1:28" ht="12" customHeight="1" x14ac:dyDescent="0.25">
      <c r="A49" s="54" t="s">
        <v>22</v>
      </c>
      <c r="B49" s="68" t="s">
        <v>254</v>
      </c>
      <c r="C49" s="57">
        <v>8088</v>
      </c>
      <c r="D49" s="57">
        <v>9449</v>
      </c>
      <c r="E49" s="57">
        <v>11153</v>
      </c>
      <c r="F49" s="57">
        <v>9090</v>
      </c>
      <c r="G49" s="57">
        <v>10139</v>
      </c>
      <c r="H49" s="57">
        <v>9492</v>
      </c>
      <c r="I49" s="57">
        <v>8951</v>
      </c>
      <c r="J49" s="57">
        <v>9987</v>
      </c>
      <c r="K49" s="57">
        <v>9419</v>
      </c>
      <c r="L49" s="57">
        <v>8259</v>
      </c>
      <c r="M49" s="57">
        <v>9497</v>
      </c>
      <c r="N49" s="57">
        <v>8001</v>
      </c>
      <c r="O49" s="91"/>
    </row>
    <row r="50" spans="1:28" ht="12" customHeight="1" x14ac:dyDescent="0.25">
      <c r="A50" s="54" t="s">
        <v>22</v>
      </c>
      <c r="B50" s="68" t="s">
        <v>273</v>
      </c>
      <c r="C50" s="57">
        <v>8314</v>
      </c>
      <c r="D50" s="57">
        <v>9748</v>
      </c>
      <c r="E50" s="57">
        <v>11498</v>
      </c>
      <c r="F50" s="57">
        <v>8549</v>
      </c>
      <c r="G50" s="57">
        <v>8998</v>
      </c>
      <c r="H50" s="57">
        <v>9360</v>
      </c>
      <c r="I50" s="57">
        <v>8440</v>
      </c>
      <c r="J50" s="57">
        <v>8951</v>
      </c>
      <c r="K50" s="57">
        <v>9151</v>
      </c>
      <c r="L50" s="57">
        <v>8404</v>
      </c>
      <c r="M50" s="57">
        <v>8330</v>
      </c>
      <c r="N50" s="57">
        <v>7977</v>
      </c>
      <c r="O50" s="91"/>
    </row>
    <row r="51" spans="1:28" ht="12" customHeight="1" x14ac:dyDescent="0.25">
      <c r="A51" s="54" t="s">
        <v>22</v>
      </c>
      <c r="B51" s="68" t="s">
        <v>288</v>
      </c>
      <c r="C51" s="57">
        <v>8040</v>
      </c>
      <c r="D51" s="57">
        <v>10735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1"/>
      <c r="V51" s="10"/>
      <c r="W51" s="10"/>
      <c r="X51" s="10"/>
      <c r="Y51" s="10"/>
      <c r="Z51" s="10"/>
      <c r="AA51" s="10" t="s">
        <v>0</v>
      </c>
      <c r="AB51" s="10" t="s">
        <v>0</v>
      </c>
    </row>
    <row r="52" spans="1:28" ht="12" customHeight="1" x14ac:dyDescent="0.25">
      <c r="A52" s="54" t="s">
        <v>9</v>
      </c>
      <c r="B52" s="68" t="s">
        <v>254</v>
      </c>
      <c r="C52" s="57">
        <v>254287</v>
      </c>
      <c r="D52" s="57">
        <v>262984</v>
      </c>
      <c r="E52" s="57">
        <v>279501</v>
      </c>
      <c r="F52" s="57">
        <v>251581</v>
      </c>
      <c r="G52" s="57">
        <v>251052</v>
      </c>
      <c r="H52" s="57">
        <v>322534</v>
      </c>
      <c r="I52" s="57">
        <v>293865</v>
      </c>
      <c r="J52" s="57">
        <v>281210</v>
      </c>
      <c r="K52" s="57">
        <v>307389</v>
      </c>
      <c r="L52" s="57">
        <v>291113</v>
      </c>
      <c r="M52" s="57">
        <v>276231</v>
      </c>
      <c r="N52" s="57">
        <v>274095</v>
      </c>
      <c r="O52" s="91"/>
      <c r="V52" s="10"/>
      <c r="W52" s="10"/>
      <c r="X52" s="10"/>
      <c r="Y52" s="10"/>
      <c r="Z52" s="10"/>
    </row>
    <row r="53" spans="1:28" ht="12" customHeight="1" x14ac:dyDescent="0.25">
      <c r="A53" s="54" t="s">
        <v>9</v>
      </c>
      <c r="B53" s="68" t="s">
        <v>273</v>
      </c>
      <c r="C53" s="57">
        <v>298093</v>
      </c>
      <c r="D53" s="57">
        <v>291928</v>
      </c>
      <c r="E53" s="57">
        <v>337158</v>
      </c>
      <c r="F53" s="57">
        <v>284371</v>
      </c>
      <c r="G53" s="57">
        <v>288369</v>
      </c>
      <c r="H53" s="57">
        <v>327265</v>
      </c>
      <c r="I53" s="57">
        <v>302521</v>
      </c>
      <c r="J53" s="57">
        <v>313715</v>
      </c>
      <c r="K53" s="57">
        <v>364809</v>
      </c>
      <c r="L53" s="57">
        <v>341347</v>
      </c>
      <c r="M53" s="57">
        <v>288062</v>
      </c>
      <c r="N53" s="57">
        <v>281968</v>
      </c>
      <c r="O53" s="91"/>
    </row>
    <row r="54" spans="1:28" ht="12" customHeight="1" x14ac:dyDescent="0.25">
      <c r="A54" s="54" t="s">
        <v>9</v>
      </c>
      <c r="B54" s="68" t="s">
        <v>288</v>
      </c>
      <c r="C54" s="57">
        <v>339441</v>
      </c>
      <c r="D54" s="57">
        <v>319519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91"/>
    </row>
    <row r="55" spans="1:28" ht="12" customHeight="1" x14ac:dyDescent="0.25">
      <c r="A55" s="54" t="s">
        <v>45</v>
      </c>
      <c r="B55" s="68" t="s">
        <v>254</v>
      </c>
      <c r="C55" s="57">
        <v>25093</v>
      </c>
      <c r="D55" s="57">
        <v>11965</v>
      </c>
      <c r="E55" s="57">
        <v>12870</v>
      </c>
      <c r="F55" s="57">
        <v>7837</v>
      </c>
      <c r="G55" s="57">
        <v>5280</v>
      </c>
      <c r="H55" s="57">
        <v>2131</v>
      </c>
      <c r="I55" s="57">
        <v>21899</v>
      </c>
      <c r="J55" s="57">
        <v>8108</v>
      </c>
      <c r="K55" s="57">
        <v>6309</v>
      </c>
      <c r="L55" s="57">
        <v>2564</v>
      </c>
      <c r="M55" s="57">
        <v>983</v>
      </c>
      <c r="N55" s="57">
        <v>209</v>
      </c>
      <c r="O55" s="91"/>
    </row>
    <row r="56" spans="1:28" ht="12" customHeight="1" x14ac:dyDescent="0.25">
      <c r="A56" s="54" t="s">
        <v>45</v>
      </c>
      <c r="B56" s="68" t="s">
        <v>273</v>
      </c>
      <c r="C56" s="57">
        <v>27363</v>
      </c>
      <c r="D56" s="57">
        <v>13072</v>
      </c>
      <c r="E56" s="57">
        <v>17681</v>
      </c>
      <c r="F56" s="57">
        <v>8902</v>
      </c>
      <c r="G56" s="57">
        <v>7524</v>
      </c>
      <c r="H56" s="57">
        <v>3145</v>
      </c>
      <c r="I56" s="57">
        <v>26954</v>
      </c>
      <c r="J56" s="57">
        <v>8088</v>
      </c>
      <c r="K56" s="57">
        <v>5625</v>
      </c>
      <c r="L56" s="57">
        <v>2137</v>
      </c>
      <c r="M56" s="57">
        <v>1933</v>
      </c>
      <c r="N56" s="57">
        <v>426</v>
      </c>
      <c r="O56" s="91"/>
    </row>
    <row r="57" spans="1:28" ht="12" customHeight="1" x14ac:dyDescent="0.25">
      <c r="A57" s="54" t="s">
        <v>45</v>
      </c>
      <c r="B57" s="68" t="s">
        <v>288</v>
      </c>
      <c r="C57" s="57">
        <v>31425</v>
      </c>
      <c r="D57" s="57">
        <v>16452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91"/>
    </row>
    <row r="58" spans="1:28" ht="12" customHeight="1" x14ac:dyDescent="0.25">
      <c r="A58" s="54" t="s">
        <v>16</v>
      </c>
      <c r="B58" s="68" t="s">
        <v>254</v>
      </c>
      <c r="C58" s="57">
        <v>107814</v>
      </c>
      <c r="D58" s="57">
        <v>110902</v>
      </c>
      <c r="E58" s="57">
        <v>119542</v>
      </c>
      <c r="F58" s="57">
        <v>97389</v>
      </c>
      <c r="G58" s="57">
        <v>121327</v>
      </c>
      <c r="H58" s="57">
        <v>127254</v>
      </c>
      <c r="I58" s="57">
        <v>109628</v>
      </c>
      <c r="J58" s="57">
        <v>71188</v>
      </c>
      <c r="K58" s="57">
        <v>111011</v>
      </c>
      <c r="L58" s="57">
        <v>115839</v>
      </c>
      <c r="M58" s="57">
        <v>119875</v>
      </c>
      <c r="N58" s="57">
        <v>104915</v>
      </c>
      <c r="O58" s="91"/>
    </row>
    <row r="59" spans="1:28" ht="12" customHeight="1" x14ac:dyDescent="0.25">
      <c r="A59" s="54" t="s">
        <v>16</v>
      </c>
      <c r="B59" s="68" t="s">
        <v>273</v>
      </c>
      <c r="C59" s="57">
        <v>128437</v>
      </c>
      <c r="D59" s="57">
        <v>130287</v>
      </c>
      <c r="E59" s="57">
        <v>168343</v>
      </c>
      <c r="F59" s="57">
        <v>125783</v>
      </c>
      <c r="G59" s="57">
        <v>149489</v>
      </c>
      <c r="H59" s="57">
        <v>138411</v>
      </c>
      <c r="I59" s="57">
        <v>120015</v>
      </c>
      <c r="J59" s="57">
        <v>79795</v>
      </c>
      <c r="K59" s="57">
        <v>135443</v>
      </c>
      <c r="L59" s="57">
        <v>139030</v>
      </c>
      <c r="M59" s="57">
        <v>139228</v>
      </c>
      <c r="N59" s="57">
        <v>112187</v>
      </c>
      <c r="O59" s="91"/>
    </row>
    <row r="60" spans="1:28" ht="12" customHeight="1" x14ac:dyDescent="0.25">
      <c r="A60" s="54" t="s">
        <v>16</v>
      </c>
      <c r="B60" s="68" t="s">
        <v>288</v>
      </c>
      <c r="C60" s="57">
        <v>141893</v>
      </c>
      <c r="D60" s="57">
        <v>147055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91"/>
    </row>
    <row r="61" spans="1:28" ht="12" customHeight="1" x14ac:dyDescent="0.25">
      <c r="A61" s="54" t="s">
        <v>4</v>
      </c>
      <c r="B61" s="68" t="s">
        <v>254</v>
      </c>
      <c r="C61" s="57">
        <v>272445</v>
      </c>
      <c r="D61" s="57">
        <v>289848</v>
      </c>
      <c r="E61" s="57">
        <v>426393</v>
      </c>
      <c r="F61" s="57">
        <v>244292</v>
      </c>
      <c r="G61" s="57">
        <v>211856</v>
      </c>
      <c r="H61" s="57">
        <v>268077</v>
      </c>
      <c r="I61" s="57">
        <v>288145</v>
      </c>
      <c r="J61" s="57">
        <v>234143</v>
      </c>
      <c r="K61" s="57">
        <v>324901</v>
      </c>
      <c r="L61" s="57">
        <v>295809</v>
      </c>
      <c r="M61" s="57">
        <v>308059</v>
      </c>
      <c r="N61" s="57">
        <v>284330</v>
      </c>
      <c r="O61" s="91"/>
    </row>
    <row r="62" spans="1:28" ht="12" customHeight="1" x14ac:dyDescent="0.25">
      <c r="A62" s="54" t="s">
        <v>4</v>
      </c>
      <c r="B62" s="68" t="s">
        <v>273</v>
      </c>
      <c r="C62" s="57">
        <v>319870</v>
      </c>
      <c r="D62" s="57">
        <v>356281</v>
      </c>
      <c r="E62" s="57">
        <v>477943</v>
      </c>
      <c r="F62" s="57">
        <v>289525</v>
      </c>
      <c r="G62" s="57">
        <v>272042</v>
      </c>
      <c r="H62" s="57">
        <v>332033</v>
      </c>
      <c r="I62" s="57">
        <v>320997</v>
      </c>
      <c r="J62" s="57">
        <v>280537</v>
      </c>
      <c r="K62" s="57">
        <v>363399</v>
      </c>
      <c r="L62" s="57">
        <v>334485</v>
      </c>
      <c r="M62" s="57">
        <v>344045</v>
      </c>
      <c r="N62" s="57">
        <v>301571</v>
      </c>
      <c r="O62" s="91"/>
    </row>
    <row r="63" spans="1:28" ht="12" customHeight="1" x14ac:dyDescent="0.25">
      <c r="A63" s="54" t="s">
        <v>4</v>
      </c>
      <c r="B63" s="68" t="s">
        <v>288</v>
      </c>
      <c r="C63" s="57">
        <v>285429</v>
      </c>
      <c r="D63" s="57">
        <v>298495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91"/>
    </row>
    <row r="64" spans="1:28" ht="12" customHeight="1" x14ac:dyDescent="0.25">
      <c r="A64" s="54" t="s">
        <v>7</v>
      </c>
      <c r="B64" s="68" t="s">
        <v>254</v>
      </c>
      <c r="C64" s="57">
        <v>92539</v>
      </c>
      <c r="D64" s="57">
        <v>100842</v>
      </c>
      <c r="E64" s="57">
        <v>118653</v>
      </c>
      <c r="F64" s="57">
        <v>120897</v>
      </c>
      <c r="G64" s="57">
        <v>119807</v>
      </c>
      <c r="H64" s="57">
        <v>123768</v>
      </c>
      <c r="I64" s="57">
        <v>118808</v>
      </c>
      <c r="J64" s="57">
        <v>106809</v>
      </c>
      <c r="K64" s="57">
        <v>114731</v>
      </c>
      <c r="L64" s="57">
        <v>119822</v>
      </c>
      <c r="M64" s="57">
        <v>133208</v>
      </c>
      <c r="N64" s="57">
        <v>139669</v>
      </c>
      <c r="O64" s="91"/>
      <c r="P64" s="51"/>
    </row>
    <row r="65" spans="1:18" ht="12" customHeight="1" x14ac:dyDescent="0.25">
      <c r="A65" s="54" t="s">
        <v>7</v>
      </c>
      <c r="B65" s="68" t="s">
        <v>273</v>
      </c>
      <c r="C65" s="57">
        <v>101134</v>
      </c>
      <c r="D65" s="57">
        <v>120143</v>
      </c>
      <c r="E65" s="57">
        <v>138508</v>
      </c>
      <c r="F65" s="57">
        <v>127253</v>
      </c>
      <c r="G65" s="57">
        <v>130141</v>
      </c>
      <c r="H65" s="57">
        <v>139534</v>
      </c>
      <c r="I65" s="57">
        <v>113875</v>
      </c>
      <c r="J65" s="57">
        <v>112723</v>
      </c>
      <c r="K65" s="57">
        <v>111705</v>
      </c>
      <c r="L65" s="57">
        <v>116884</v>
      </c>
      <c r="M65" s="57">
        <v>133986</v>
      </c>
      <c r="N65" s="57">
        <v>124638</v>
      </c>
      <c r="O65" s="91"/>
      <c r="P65" s="51"/>
    </row>
    <row r="66" spans="1:18" ht="12" customHeight="1" x14ac:dyDescent="0.25">
      <c r="A66" s="54" t="s">
        <v>7</v>
      </c>
      <c r="B66" s="68" t="s">
        <v>288</v>
      </c>
      <c r="C66" s="57">
        <v>101696</v>
      </c>
      <c r="D66" s="57">
        <v>100082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91"/>
      <c r="P66" s="51"/>
    </row>
    <row r="67" spans="1:18" ht="12" customHeight="1" x14ac:dyDescent="0.25">
      <c r="A67" s="54" t="s">
        <v>11</v>
      </c>
      <c r="B67" s="68" t="s">
        <v>254</v>
      </c>
      <c r="C67" s="57">
        <v>37277</v>
      </c>
      <c r="D67" s="57">
        <v>36856</v>
      </c>
      <c r="E67" s="57">
        <v>43743</v>
      </c>
      <c r="F67" s="57">
        <v>40522</v>
      </c>
      <c r="G67" s="57">
        <v>43359</v>
      </c>
      <c r="H67" s="57">
        <v>41391</v>
      </c>
      <c r="I67" s="57">
        <v>36252</v>
      </c>
      <c r="J67" s="57">
        <v>41435</v>
      </c>
      <c r="K67" s="57">
        <v>37959</v>
      </c>
      <c r="L67" s="57">
        <v>36951</v>
      </c>
      <c r="M67" s="57">
        <v>40597</v>
      </c>
      <c r="N67" s="57">
        <v>50651</v>
      </c>
      <c r="O67" s="91"/>
      <c r="Q67" s="2"/>
      <c r="R67" s="2"/>
    </row>
    <row r="68" spans="1:18" ht="12" customHeight="1" x14ac:dyDescent="0.25">
      <c r="A68" s="54" t="s">
        <v>11</v>
      </c>
      <c r="B68" s="68" t="s">
        <v>273</v>
      </c>
      <c r="C68" s="57">
        <v>40728</v>
      </c>
      <c r="D68" s="57">
        <v>48292</v>
      </c>
      <c r="E68" s="57">
        <v>55141</v>
      </c>
      <c r="F68" s="57">
        <v>39889</v>
      </c>
      <c r="G68" s="57">
        <v>46474</v>
      </c>
      <c r="H68" s="57">
        <v>48891</v>
      </c>
      <c r="I68" s="57">
        <v>47622</v>
      </c>
      <c r="J68" s="57">
        <v>50769</v>
      </c>
      <c r="K68" s="57">
        <v>50469</v>
      </c>
      <c r="L68" s="57">
        <v>48855</v>
      </c>
      <c r="M68" s="57">
        <v>57821</v>
      </c>
      <c r="N68" s="57">
        <v>63140</v>
      </c>
      <c r="O68" s="91"/>
      <c r="Q68" s="2"/>
      <c r="R68" s="2" t="s">
        <v>0</v>
      </c>
    </row>
    <row r="69" spans="1:18" ht="12" customHeight="1" x14ac:dyDescent="0.25">
      <c r="A69" s="54" t="s">
        <v>11</v>
      </c>
      <c r="B69" s="68" t="s">
        <v>288</v>
      </c>
      <c r="C69" s="57">
        <v>47976</v>
      </c>
      <c r="D69" s="57">
        <v>48095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91"/>
      <c r="P69" s="51"/>
      <c r="Q69" s="2" t="s">
        <v>0</v>
      </c>
      <c r="R69" s="2" t="s">
        <v>0</v>
      </c>
    </row>
    <row r="70" spans="1:18" ht="12" customHeight="1" x14ac:dyDescent="0.25">
      <c r="A70" s="54" t="s">
        <v>46</v>
      </c>
      <c r="B70" s="68" t="s">
        <v>254</v>
      </c>
      <c r="C70" s="57">
        <v>30984</v>
      </c>
      <c r="D70" s="57">
        <v>22740</v>
      </c>
      <c r="E70" s="57">
        <v>24815</v>
      </c>
      <c r="F70" s="57">
        <v>21918</v>
      </c>
      <c r="G70" s="57">
        <v>23354</v>
      </c>
      <c r="H70" s="57">
        <v>29897</v>
      </c>
      <c r="I70" s="57">
        <v>22067</v>
      </c>
      <c r="J70" s="57">
        <v>23522</v>
      </c>
      <c r="K70" s="57">
        <v>25647</v>
      </c>
      <c r="L70" s="57">
        <v>28820</v>
      </c>
      <c r="M70" s="57">
        <v>27819</v>
      </c>
      <c r="N70" s="57">
        <v>30900</v>
      </c>
      <c r="O70" s="91"/>
      <c r="P70" s="51"/>
      <c r="Q70" s="2"/>
      <c r="R70" s="2"/>
    </row>
    <row r="71" spans="1:18" ht="12" customHeight="1" x14ac:dyDescent="0.25">
      <c r="A71" s="54" t="s">
        <v>46</v>
      </c>
      <c r="B71" s="68" t="s">
        <v>273</v>
      </c>
      <c r="C71" s="57">
        <v>32845</v>
      </c>
      <c r="D71" s="57">
        <v>28128</v>
      </c>
      <c r="E71" s="57">
        <v>37452</v>
      </c>
      <c r="F71" s="57">
        <v>29172</v>
      </c>
      <c r="G71" s="57">
        <v>33020</v>
      </c>
      <c r="H71" s="57">
        <v>41978</v>
      </c>
      <c r="I71" s="57">
        <v>26837</v>
      </c>
      <c r="J71" s="57">
        <v>27627</v>
      </c>
      <c r="K71" s="57">
        <v>29902</v>
      </c>
      <c r="L71" s="57">
        <v>28052</v>
      </c>
      <c r="M71" s="57">
        <v>28208</v>
      </c>
      <c r="N71" s="57">
        <v>26570</v>
      </c>
      <c r="O71" s="91"/>
      <c r="P71" s="51"/>
      <c r="Q71" s="2"/>
      <c r="R71" s="2" t="s">
        <v>0</v>
      </c>
    </row>
    <row r="72" spans="1:18" ht="12" customHeight="1" x14ac:dyDescent="0.25">
      <c r="A72" s="54" t="s">
        <v>46</v>
      </c>
      <c r="B72" s="68" t="s">
        <v>288</v>
      </c>
      <c r="C72" s="57">
        <v>34777</v>
      </c>
      <c r="D72" s="57">
        <v>30033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91"/>
      <c r="P72" s="51"/>
      <c r="Q72" s="2" t="s">
        <v>0</v>
      </c>
      <c r="R72" s="2"/>
    </row>
    <row r="73" spans="1:18" ht="12" customHeight="1" x14ac:dyDescent="0.25">
      <c r="A73" s="54" t="s">
        <v>21</v>
      </c>
      <c r="B73" s="68" t="s">
        <v>254</v>
      </c>
      <c r="C73" s="57">
        <v>28975</v>
      </c>
      <c r="D73" s="57">
        <v>33538</v>
      </c>
      <c r="E73" s="57">
        <v>39528</v>
      </c>
      <c r="F73" s="57">
        <v>34882</v>
      </c>
      <c r="G73" s="57">
        <v>35897</v>
      </c>
      <c r="H73" s="57">
        <v>39597</v>
      </c>
      <c r="I73" s="57">
        <v>34702</v>
      </c>
      <c r="J73" s="57">
        <v>33758</v>
      </c>
      <c r="K73" s="57">
        <v>35803</v>
      </c>
      <c r="L73" s="57">
        <v>32001</v>
      </c>
      <c r="M73" s="57">
        <v>34196</v>
      </c>
      <c r="N73" s="57">
        <v>36872</v>
      </c>
      <c r="O73" s="91"/>
      <c r="P73" s="51"/>
      <c r="Q73" s="2"/>
      <c r="R73" s="2" t="s">
        <v>0</v>
      </c>
    </row>
    <row r="74" spans="1:18" ht="12" customHeight="1" x14ac:dyDescent="0.25">
      <c r="A74" s="54" t="s">
        <v>21</v>
      </c>
      <c r="B74" s="68" t="s">
        <v>273</v>
      </c>
      <c r="C74" s="57">
        <v>35047</v>
      </c>
      <c r="D74" s="57">
        <v>38524</v>
      </c>
      <c r="E74" s="57">
        <v>49461</v>
      </c>
      <c r="F74" s="57">
        <v>35484</v>
      </c>
      <c r="G74" s="57">
        <v>38576</v>
      </c>
      <c r="H74" s="57">
        <v>41581</v>
      </c>
      <c r="I74" s="57">
        <v>36388</v>
      </c>
      <c r="J74" s="57">
        <v>36178</v>
      </c>
      <c r="K74" s="57">
        <v>39078</v>
      </c>
      <c r="L74" s="57">
        <v>40914</v>
      </c>
      <c r="M74" s="57">
        <v>41686</v>
      </c>
      <c r="N74" s="57">
        <v>42117</v>
      </c>
      <c r="O74" s="91"/>
      <c r="P74" s="51"/>
      <c r="Q74" s="2"/>
      <c r="R74" s="2"/>
    </row>
    <row r="75" spans="1:18" ht="12" customHeight="1" x14ac:dyDescent="0.25">
      <c r="A75" s="54" t="s">
        <v>21</v>
      </c>
      <c r="B75" s="68" t="s">
        <v>288</v>
      </c>
      <c r="C75" s="57">
        <v>42789</v>
      </c>
      <c r="D75" s="57">
        <v>45978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91"/>
      <c r="P75" s="51"/>
      <c r="Q75" s="2" t="s">
        <v>0</v>
      </c>
      <c r="R75" s="2"/>
    </row>
    <row r="76" spans="1:18" ht="12" customHeight="1" x14ac:dyDescent="0.25">
      <c r="A76" s="54" t="s">
        <v>47</v>
      </c>
      <c r="B76" s="68" t="s">
        <v>254</v>
      </c>
      <c r="C76" s="57">
        <v>9829</v>
      </c>
      <c r="D76" s="57">
        <v>11571</v>
      </c>
      <c r="E76" s="57">
        <v>13371</v>
      </c>
      <c r="F76" s="57">
        <v>12420</v>
      </c>
      <c r="G76" s="57">
        <v>12748</v>
      </c>
      <c r="H76" s="57">
        <v>15510</v>
      </c>
      <c r="I76" s="57">
        <v>14495</v>
      </c>
      <c r="J76" s="57">
        <v>11349</v>
      </c>
      <c r="K76" s="57">
        <v>12471</v>
      </c>
      <c r="L76" s="57">
        <v>12558</v>
      </c>
      <c r="M76" s="57">
        <v>15234</v>
      </c>
      <c r="N76" s="57">
        <v>14752</v>
      </c>
      <c r="O76" s="91"/>
      <c r="P76" s="51"/>
    </row>
    <row r="77" spans="1:18" ht="12" customHeight="1" x14ac:dyDescent="0.25">
      <c r="A77" s="54" t="s">
        <v>47</v>
      </c>
      <c r="B77" s="68" t="s">
        <v>273</v>
      </c>
      <c r="C77" s="57">
        <v>14639</v>
      </c>
      <c r="D77" s="57">
        <v>16080</v>
      </c>
      <c r="E77" s="57">
        <v>21472</v>
      </c>
      <c r="F77" s="57">
        <v>16107</v>
      </c>
      <c r="G77" s="57">
        <v>19816</v>
      </c>
      <c r="H77" s="57">
        <v>22041</v>
      </c>
      <c r="I77" s="57">
        <v>16074</v>
      </c>
      <c r="J77" s="57">
        <v>13050</v>
      </c>
      <c r="K77" s="57">
        <v>14077</v>
      </c>
      <c r="L77" s="57">
        <v>13863</v>
      </c>
      <c r="M77" s="97">
        <v>15769</v>
      </c>
      <c r="N77" s="57">
        <v>16635</v>
      </c>
      <c r="O77" s="91"/>
      <c r="P77" s="51"/>
    </row>
    <row r="78" spans="1:18" ht="12" customHeight="1" x14ac:dyDescent="0.25">
      <c r="A78" s="54" t="s">
        <v>47</v>
      </c>
      <c r="B78" s="68" t="s">
        <v>288</v>
      </c>
      <c r="C78" s="57">
        <v>15737</v>
      </c>
      <c r="D78" s="57">
        <v>20511</v>
      </c>
      <c r="E78" s="57"/>
      <c r="F78" s="57"/>
      <c r="G78" s="57"/>
      <c r="H78" s="57"/>
      <c r="I78" s="57"/>
      <c r="J78" s="57"/>
      <c r="K78" s="57"/>
      <c r="L78" s="57"/>
      <c r="M78" s="97"/>
      <c r="N78" s="57"/>
      <c r="O78" s="91"/>
    </row>
    <row r="79" spans="1:18" ht="12" customHeight="1" x14ac:dyDescent="0.25">
      <c r="A79" s="54" t="s">
        <v>26</v>
      </c>
      <c r="B79" s="68" t="s">
        <v>254</v>
      </c>
      <c r="C79" s="57">
        <v>9337</v>
      </c>
      <c r="D79" s="57">
        <v>8616</v>
      </c>
      <c r="E79" s="57">
        <v>11025</v>
      </c>
      <c r="F79" s="57">
        <v>8469</v>
      </c>
      <c r="G79" s="57">
        <v>10198</v>
      </c>
      <c r="H79" s="57">
        <v>11067</v>
      </c>
      <c r="I79" s="57">
        <v>11316</v>
      </c>
      <c r="J79" s="57">
        <v>13321</v>
      </c>
      <c r="K79" s="57">
        <v>11927</v>
      </c>
      <c r="L79" s="57">
        <v>10541</v>
      </c>
      <c r="M79" s="57">
        <v>11074</v>
      </c>
      <c r="N79" s="57">
        <v>12437</v>
      </c>
      <c r="O79" s="91"/>
    </row>
    <row r="80" spans="1:18" ht="12" customHeight="1" x14ac:dyDescent="0.25">
      <c r="A80" s="54" t="s">
        <v>26</v>
      </c>
      <c r="B80" s="68" t="s">
        <v>273</v>
      </c>
      <c r="C80" s="57">
        <v>12134</v>
      </c>
      <c r="D80" s="57">
        <v>12581</v>
      </c>
      <c r="E80" s="57">
        <v>12251</v>
      </c>
      <c r="F80" s="57">
        <v>9865</v>
      </c>
      <c r="G80" s="57">
        <v>13641</v>
      </c>
      <c r="H80" s="57">
        <v>12315</v>
      </c>
      <c r="I80" s="57">
        <v>14488</v>
      </c>
      <c r="J80" s="57">
        <v>11693</v>
      </c>
      <c r="K80" s="57">
        <v>11743</v>
      </c>
      <c r="L80" s="57">
        <v>11393</v>
      </c>
      <c r="M80" s="57">
        <v>9498</v>
      </c>
      <c r="N80" s="57">
        <v>13009</v>
      </c>
      <c r="O80" s="91"/>
    </row>
    <row r="81" spans="1:17" ht="12" customHeight="1" x14ac:dyDescent="0.25">
      <c r="A81" s="54" t="s">
        <v>26</v>
      </c>
      <c r="B81" s="68" t="s">
        <v>288</v>
      </c>
      <c r="C81" s="57">
        <v>12733</v>
      </c>
      <c r="D81" s="57">
        <v>11485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91"/>
    </row>
    <row r="82" spans="1:17" ht="12" customHeight="1" x14ac:dyDescent="0.25">
      <c r="A82" s="54" t="s">
        <v>238</v>
      </c>
      <c r="B82" s="68" t="s">
        <v>254</v>
      </c>
      <c r="C82" s="57">
        <v>91662</v>
      </c>
      <c r="D82" s="57">
        <v>114349</v>
      </c>
      <c r="E82" s="57">
        <v>55129</v>
      </c>
      <c r="F82" s="57">
        <v>32706</v>
      </c>
      <c r="G82" s="57">
        <v>40460</v>
      </c>
      <c r="H82" s="57">
        <v>35922</v>
      </c>
      <c r="I82" s="57">
        <v>36945</v>
      </c>
      <c r="J82" s="57">
        <v>21282</v>
      </c>
      <c r="K82" s="57">
        <v>46698</v>
      </c>
      <c r="L82" s="57">
        <v>45228</v>
      </c>
      <c r="M82" s="57">
        <v>46403</v>
      </c>
      <c r="N82" s="57">
        <v>64072</v>
      </c>
      <c r="O82" s="91"/>
    </row>
    <row r="83" spans="1:17" ht="12" customHeight="1" x14ac:dyDescent="0.25">
      <c r="A83" s="54" t="s">
        <v>238</v>
      </c>
      <c r="B83" s="68" t="s">
        <v>273</v>
      </c>
      <c r="C83" s="57">
        <v>52499</v>
      </c>
      <c r="D83" s="57">
        <v>61851</v>
      </c>
      <c r="E83" s="57">
        <v>68414</v>
      </c>
      <c r="F83" s="57">
        <v>74270</v>
      </c>
      <c r="G83" s="57">
        <v>71466</v>
      </c>
      <c r="H83" s="57">
        <v>72279</v>
      </c>
      <c r="I83" s="57">
        <v>72832</v>
      </c>
      <c r="J83" s="57">
        <v>79332</v>
      </c>
      <c r="K83" s="57">
        <v>75735</v>
      </c>
      <c r="L83" s="57">
        <v>75261</v>
      </c>
      <c r="M83" s="57">
        <v>75261</v>
      </c>
      <c r="N83" s="57">
        <v>75922</v>
      </c>
      <c r="O83" s="91"/>
    </row>
    <row r="84" spans="1:17" ht="12" customHeight="1" x14ac:dyDescent="0.25">
      <c r="A84" s="54" t="s">
        <v>238</v>
      </c>
      <c r="B84" s="68" t="s">
        <v>288</v>
      </c>
      <c r="C84" s="57">
        <v>38561</v>
      </c>
      <c r="D84" s="57">
        <v>153761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91"/>
      <c r="Q84" s="3" t="s">
        <v>0</v>
      </c>
    </row>
    <row r="85" spans="1:17" ht="12" customHeight="1" x14ac:dyDescent="0.25">
      <c r="A85" s="54" t="s">
        <v>23</v>
      </c>
      <c r="B85" s="68" t="s">
        <v>254</v>
      </c>
      <c r="C85" s="57">
        <v>5739</v>
      </c>
      <c r="D85" s="57">
        <v>6006</v>
      </c>
      <c r="E85" s="57">
        <v>7476</v>
      </c>
      <c r="F85" s="57">
        <v>6058</v>
      </c>
      <c r="G85" s="57">
        <v>6650</v>
      </c>
      <c r="H85" s="57">
        <v>8024</v>
      </c>
      <c r="I85" s="57">
        <v>6221</v>
      </c>
      <c r="J85" s="57">
        <v>6695</v>
      </c>
      <c r="K85" s="57">
        <v>5237</v>
      </c>
      <c r="L85" s="57">
        <v>7728</v>
      </c>
      <c r="M85" s="57">
        <v>6976</v>
      </c>
      <c r="N85" s="57">
        <v>6449</v>
      </c>
      <c r="O85" s="91"/>
    </row>
    <row r="86" spans="1:17" ht="12" customHeight="1" x14ac:dyDescent="0.25">
      <c r="A86" s="54" t="s">
        <v>23</v>
      </c>
      <c r="B86" s="68" t="s">
        <v>273</v>
      </c>
      <c r="C86" s="57">
        <v>6680</v>
      </c>
      <c r="D86" s="57">
        <v>6623</v>
      </c>
      <c r="E86" s="57">
        <v>8852</v>
      </c>
      <c r="F86" s="57">
        <v>6892</v>
      </c>
      <c r="G86" s="57">
        <v>8039</v>
      </c>
      <c r="H86" s="57">
        <v>8371</v>
      </c>
      <c r="I86" s="57">
        <v>8001</v>
      </c>
      <c r="J86" s="57">
        <v>7487</v>
      </c>
      <c r="K86" s="57">
        <v>6859</v>
      </c>
      <c r="L86" s="57">
        <v>7807</v>
      </c>
      <c r="M86" s="57">
        <v>7064</v>
      </c>
      <c r="N86" s="57">
        <v>5328</v>
      </c>
      <c r="O86" s="91"/>
    </row>
    <row r="87" spans="1:17" ht="12" customHeight="1" x14ac:dyDescent="0.25">
      <c r="A87" s="54" t="s">
        <v>23</v>
      </c>
      <c r="B87" s="68" t="s">
        <v>288</v>
      </c>
      <c r="C87" s="57">
        <v>7935</v>
      </c>
      <c r="D87" s="57">
        <v>7702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91"/>
      <c r="Q87" s="3" t="s">
        <v>0</v>
      </c>
    </row>
    <row r="88" spans="1:17" ht="12" customHeight="1" x14ac:dyDescent="0.25">
      <c r="A88" s="54" t="s">
        <v>24</v>
      </c>
      <c r="B88" s="68" t="s">
        <v>254</v>
      </c>
      <c r="C88" s="57">
        <v>4320</v>
      </c>
      <c r="D88" s="57">
        <v>3805</v>
      </c>
      <c r="E88" s="57">
        <v>4627</v>
      </c>
      <c r="F88" s="57">
        <v>3918</v>
      </c>
      <c r="G88" s="57">
        <v>4784</v>
      </c>
      <c r="H88" s="57">
        <v>4393</v>
      </c>
      <c r="I88" s="57">
        <v>3796</v>
      </c>
      <c r="J88" s="57">
        <v>3339</v>
      </c>
      <c r="K88" s="57">
        <v>3776</v>
      </c>
      <c r="L88" s="57">
        <v>3433</v>
      </c>
      <c r="M88" s="57">
        <v>3623</v>
      </c>
      <c r="N88" s="57">
        <v>2525</v>
      </c>
      <c r="O88" s="91"/>
      <c r="Q88" s="3" t="s">
        <v>0</v>
      </c>
    </row>
    <row r="89" spans="1:17" ht="12" customHeight="1" x14ac:dyDescent="0.25">
      <c r="A89" s="54" t="s">
        <v>24</v>
      </c>
      <c r="B89" s="68" t="s">
        <v>273</v>
      </c>
      <c r="C89" s="57">
        <v>4425</v>
      </c>
      <c r="D89" s="57">
        <v>3770</v>
      </c>
      <c r="E89" s="57">
        <v>5255</v>
      </c>
      <c r="F89" s="57">
        <v>4338</v>
      </c>
      <c r="G89" s="57">
        <v>4853</v>
      </c>
      <c r="H89" s="57">
        <v>4669</v>
      </c>
      <c r="I89" s="57">
        <v>3776</v>
      </c>
      <c r="J89" s="57">
        <v>3240</v>
      </c>
      <c r="K89" s="57">
        <v>4051</v>
      </c>
      <c r="L89" s="57">
        <v>3881</v>
      </c>
      <c r="M89" s="57">
        <v>3860</v>
      </c>
      <c r="N89" s="57">
        <v>2691</v>
      </c>
      <c r="O89" s="91"/>
      <c r="Q89" s="3" t="s">
        <v>0</v>
      </c>
    </row>
    <row r="90" spans="1:17" ht="12" customHeight="1" x14ac:dyDescent="0.25">
      <c r="A90" s="54" t="s">
        <v>24</v>
      </c>
      <c r="B90" s="68" t="s">
        <v>288</v>
      </c>
      <c r="C90" s="57">
        <v>4543</v>
      </c>
      <c r="D90" s="57">
        <v>4178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91"/>
      <c r="Q90" s="3"/>
    </row>
    <row r="91" spans="1:17" ht="12" customHeight="1" x14ac:dyDescent="0.25">
      <c r="A91" s="54" t="s">
        <v>19</v>
      </c>
      <c r="B91" s="68" t="s">
        <v>254</v>
      </c>
      <c r="C91" s="57">
        <v>42377</v>
      </c>
      <c r="D91" s="57">
        <v>62103</v>
      </c>
      <c r="E91" s="57">
        <v>59919</v>
      </c>
      <c r="F91" s="57">
        <v>69110</v>
      </c>
      <c r="G91" s="57">
        <v>84979</v>
      </c>
      <c r="H91" s="57">
        <v>89269</v>
      </c>
      <c r="I91" s="57">
        <v>73378</v>
      </c>
      <c r="J91" s="57">
        <v>51907</v>
      </c>
      <c r="K91" s="57">
        <v>67239</v>
      </c>
      <c r="L91" s="57">
        <v>65966</v>
      </c>
      <c r="M91" s="57">
        <v>73222</v>
      </c>
      <c r="N91" s="57">
        <v>73927</v>
      </c>
      <c r="O91" s="91"/>
      <c r="Q91" s="3" t="s">
        <v>0</v>
      </c>
    </row>
    <row r="92" spans="1:17" ht="12" customHeight="1" x14ac:dyDescent="0.25">
      <c r="A92" s="54" t="s">
        <v>19</v>
      </c>
      <c r="B92" s="68" t="s">
        <v>273</v>
      </c>
      <c r="C92" s="57">
        <v>64147</v>
      </c>
      <c r="D92" s="57">
        <v>73892</v>
      </c>
      <c r="E92" s="57">
        <v>99524</v>
      </c>
      <c r="F92" s="57">
        <v>74751</v>
      </c>
      <c r="G92" s="57">
        <v>92023</v>
      </c>
      <c r="H92" s="57">
        <v>101084</v>
      </c>
      <c r="I92" s="57">
        <v>81095</v>
      </c>
      <c r="J92" s="57">
        <v>55954</v>
      </c>
      <c r="K92" s="57">
        <v>68800</v>
      </c>
      <c r="L92" s="57">
        <v>77892</v>
      </c>
      <c r="M92" s="57">
        <v>79074</v>
      </c>
      <c r="N92" s="57">
        <v>81013</v>
      </c>
      <c r="O92" s="91"/>
      <c r="Q92" s="3" t="s">
        <v>0</v>
      </c>
    </row>
    <row r="93" spans="1:17" ht="12" customHeight="1" x14ac:dyDescent="0.25">
      <c r="A93" s="54" t="s">
        <v>19</v>
      </c>
      <c r="B93" s="68" t="s">
        <v>288</v>
      </c>
      <c r="C93" s="57">
        <v>68685</v>
      </c>
      <c r="D93" s="57">
        <v>81348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91"/>
      <c r="Q93" s="3" t="s">
        <v>0</v>
      </c>
    </row>
    <row r="94" spans="1:17" ht="12" customHeight="1" x14ac:dyDescent="0.25">
      <c r="A94" s="54" t="s">
        <v>48</v>
      </c>
      <c r="B94" s="68" t="s">
        <v>254</v>
      </c>
      <c r="C94" s="57">
        <v>19893</v>
      </c>
      <c r="D94" s="57">
        <v>21136</v>
      </c>
      <c r="E94" s="57">
        <v>28710</v>
      </c>
      <c r="F94" s="57">
        <v>21942</v>
      </c>
      <c r="G94" s="57">
        <v>26413</v>
      </c>
      <c r="H94" s="57">
        <v>26088</v>
      </c>
      <c r="I94" s="57">
        <v>17834</v>
      </c>
      <c r="J94" s="57">
        <v>20576</v>
      </c>
      <c r="K94" s="57">
        <v>22048</v>
      </c>
      <c r="L94" s="57">
        <v>22383</v>
      </c>
      <c r="M94" s="57">
        <v>25588</v>
      </c>
      <c r="N94" s="57">
        <v>35476</v>
      </c>
      <c r="O94" s="91"/>
      <c r="Q94" s="3"/>
    </row>
    <row r="95" spans="1:17" ht="12" customHeight="1" x14ac:dyDescent="0.25">
      <c r="A95" s="54" t="s">
        <v>48</v>
      </c>
      <c r="B95" s="68" t="s">
        <v>273</v>
      </c>
      <c r="C95" s="57">
        <v>14597</v>
      </c>
      <c r="D95" s="57">
        <v>18446</v>
      </c>
      <c r="E95" s="57">
        <v>30261</v>
      </c>
      <c r="F95" s="57">
        <v>20586</v>
      </c>
      <c r="G95" s="57">
        <v>28490</v>
      </c>
      <c r="H95" s="57">
        <v>28283</v>
      </c>
      <c r="I95" s="57">
        <v>17300</v>
      </c>
      <c r="J95" s="57">
        <v>23871</v>
      </c>
      <c r="K95" s="57">
        <v>28135</v>
      </c>
      <c r="L95" s="57">
        <v>25016</v>
      </c>
      <c r="M95" s="57">
        <v>25406</v>
      </c>
      <c r="N95" s="57">
        <v>29274</v>
      </c>
      <c r="O95" s="91"/>
      <c r="Q95" s="3" t="s">
        <v>0</v>
      </c>
    </row>
    <row r="96" spans="1:17" ht="12" customHeight="1" x14ac:dyDescent="0.25">
      <c r="A96" s="54" t="s">
        <v>48</v>
      </c>
      <c r="B96" s="68" t="s">
        <v>288</v>
      </c>
      <c r="C96" s="57">
        <v>17164</v>
      </c>
      <c r="D96" s="57">
        <v>18766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91"/>
      <c r="Q96" s="3" t="s">
        <v>0</v>
      </c>
    </row>
    <row r="97" spans="1:20" ht="12" customHeight="1" x14ac:dyDescent="0.25">
      <c r="A97" s="54" t="s">
        <v>49</v>
      </c>
      <c r="B97" s="68" t="s">
        <v>254</v>
      </c>
      <c r="C97" s="57">
        <v>15899</v>
      </c>
      <c r="D97" s="57">
        <v>16606</v>
      </c>
      <c r="E97" s="57">
        <v>21722</v>
      </c>
      <c r="F97" s="57">
        <v>15646</v>
      </c>
      <c r="G97" s="57">
        <v>18450</v>
      </c>
      <c r="H97" s="57">
        <v>21276</v>
      </c>
      <c r="I97" s="57">
        <v>15654</v>
      </c>
      <c r="J97" s="57">
        <v>16405</v>
      </c>
      <c r="K97" s="57">
        <v>20948</v>
      </c>
      <c r="L97" s="57">
        <v>17185</v>
      </c>
      <c r="M97" s="57">
        <v>21406</v>
      </c>
      <c r="N97" s="57">
        <v>24737</v>
      </c>
      <c r="O97" s="91"/>
      <c r="Q97" s="3" t="s">
        <v>0</v>
      </c>
    </row>
    <row r="98" spans="1:20" ht="12" customHeight="1" x14ac:dyDescent="0.25">
      <c r="A98" s="54" t="s">
        <v>49</v>
      </c>
      <c r="B98" s="68" t="s">
        <v>273</v>
      </c>
      <c r="C98" s="57">
        <v>16437</v>
      </c>
      <c r="D98" s="57">
        <v>17198</v>
      </c>
      <c r="E98" s="57">
        <v>25167</v>
      </c>
      <c r="F98" s="57">
        <v>18139</v>
      </c>
      <c r="G98" s="57">
        <v>21597</v>
      </c>
      <c r="H98" s="57">
        <v>25214</v>
      </c>
      <c r="I98" s="57">
        <v>18599</v>
      </c>
      <c r="J98" s="57">
        <v>18977</v>
      </c>
      <c r="K98" s="57">
        <v>21578</v>
      </c>
      <c r="L98" s="57">
        <v>20355</v>
      </c>
      <c r="M98" s="57">
        <v>22005</v>
      </c>
      <c r="N98" s="57">
        <v>26948</v>
      </c>
      <c r="O98" s="91"/>
      <c r="Q98" s="3"/>
    </row>
    <row r="99" spans="1:20" ht="12" customHeight="1" x14ac:dyDescent="0.25">
      <c r="A99" s="54" t="s">
        <v>49</v>
      </c>
      <c r="B99" s="68" t="s">
        <v>288</v>
      </c>
      <c r="C99" s="57">
        <v>15236</v>
      </c>
      <c r="D99" s="57">
        <v>18521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91"/>
    </row>
    <row r="100" spans="1:20" ht="12" customHeight="1" x14ac:dyDescent="0.25">
      <c r="A100" s="54" t="s">
        <v>1</v>
      </c>
      <c r="B100" s="68" t="s">
        <v>254</v>
      </c>
      <c r="C100" s="57">
        <v>29020</v>
      </c>
      <c r="D100" s="57">
        <v>37641</v>
      </c>
      <c r="E100" s="57">
        <v>50173</v>
      </c>
      <c r="F100" s="57">
        <v>45564</v>
      </c>
      <c r="G100" s="57">
        <v>51750</v>
      </c>
      <c r="H100" s="57">
        <v>64134</v>
      </c>
      <c r="I100" s="57">
        <v>41031</v>
      </c>
      <c r="J100" s="57">
        <v>35230</v>
      </c>
      <c r="K100" s="57">
        <v>44681</v>
      </c>
      <c r="L100" s="57">
        <v>47440</v>
      </c>
      <c r="M100" s="57">
        <v>59222</v>
      </c>
      <c r="N100" s="57">
        <v>86774</v>
      </c>
      <c r="O100" s="91"/>
    </row>
    <row r="101" spans="1:20" ht="12" customHeight="1" x14ac:dyDescent="0.25">
      <c r="A101" s="54" t="s">
        <v>1</v>
      </c>
      <c r="B101" s="68" t="s">
        <v>273</v>
      </c>
      <c r="C101" s="57">
        <v>37288</v>
      </c>
      <c r="D101" s="57">
        <v>58907</v>
      </c>
      <c r="E101" s="57">
        <v>79226</v>
      </c>
      <c r="F101" s="57">
        <v>77398</v>
      </c>
      <c r="G101" s="57">
        <v>87218</v>
      </c>
      <c r="H101" s="57">
        <v>89833</v>
      </c>
      <c r="I101" s="57">
        <v>85916</v>
      </c>
      <c r="J101" s="57">
        <v>66131</v>
      </c>
      <c r="K101" s="57">
        <v>78971</v>
      </c>
      <c r="L101" s="57">
        <v>82611</v>
      </c>
      <c r="M101" s="57">
        <v>91424</v>
      </c>
      <c r="N101" s="57">
        <v>126416</v>
      </c>
      <c r="O101" s="91"/>
    </row>
    <row r="102" spans="1:20" ht="12" customHeight="1" x14ac:dyDescent="0.25">
      <c r="A102" s="54" t="s">
        <v>1</v>
      </c>
      <c r="B102" s="68" t="s">
        <v>288</v>
      </c>
      <c r="C102" s="57">
        <v>64041</v>
      </c>
      <c r="D102" s="57">
        <v>82277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91"/>
    </row>
    <row r="103" spans="1:20" ht="12" customHeight="1" x14ac:dyDescent="0.25">
      <c r="A103" s="54" t="s">
        <v>17</v>
      </c>
      <c r="B103" s="68" t="s">
        <v>254</v>
      </c>
      <c r="C103" s="57">
        <v>115087</v>
      </c>
      <c r="D103" s="57">
        <v>58994</v>
      </c>
      <c r="E103" s="57">
        <v>243479</v>
      </c>
      <c r="F103" s="57">
        <v>119167</v>
      </c>
      <c r="G103" s="57">
        <v>124394</v>
      </c>
      <c r="H103" s="57">
        <v>140958</v>
      </c>
      <c r="I103" s="57">
        <v>112162</v>
      </c>
      <c r="J103" s="57">
        <v>68858</v>
      </c>
      <c r="K103" s="57">
        <v>225269</v>
      </c>
      <c r="L103" s="57">
        <v>134344</v>
      </c>
      <c r="M103" s="57">
        <v>142889</v>
      </c>
      <c r="N103" s="57">
        <v>128462</v>
      </c>
      <c r="O103" s="91"/>
      <c r="Q103" s="3" t="s">
        <v>0</v>
      </c>
    </row>
    <row r="104" spans="1:20" ht="12" customHeight="1" x14ac:dyDescent="0.25">
      <c r="A104" s="54" t="s">
        <v>17</v>
      </c>
      <c r="B104" s="68" t="s">
        <v>273</v>
      </c>
      <c r="C104" s="57">
        <v>131994</v>
      </c>
      <c r="D104" s="57">
        <v>74441</v>
      </c>
      <c r="E104" s="57">
        <v>287825</v>
      </c>
      <c r="F104" s="57">
        <v>132990</v>
      </c>
      <c r="G104" s="57">
        <v>145204</v>
      </c>
      <c r="H104" s="57">
        <v>177266</v>
      </c>
      <c r="I104" s="57">
        <v>143921</v>
      </c>
      <c r="J104" s="57">
        <v>85657</v>
      </c>
      <c r="K104" s="57">
        <v>272610</v>
      </c>
      <c r="L104" s="57">
        <v>153529</v>
      </c>
      <c r="M104" s="57">
        <v>156525</v>
      </c>
      <c r="N104" s="57">
        <v>141092</v>
      </c>
      <c r="O104" s="91"/>
      <c r="P104" s="51"/>
      <c r="Q104" s="2"/>
      <c r="R104" s="2"/>
    </row>
    <row r="105" spans="1:20" ht="12" customHeight="1" x14ac:dyDescent="0.25">
      <c r="A105" s="54" t="s">
        <v>17</v>
      </c>
      <c r="B105" s="68" t="s">
        <v>288</v>
      </c>
      <c r="C105" s="57">
        <v>142876</v>
      </c>
      <c r="D105" s="57">
        <v>84886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91"/>
      <c r="P105" s="51"/>
      <c r="Q105" s="3"/>
    </row>
    <row r="106" spans="1:20" ht="12" customHeight="1" x14ac:dyDescent="0.25">
      <c r="A106" s="54" t="s">
        <v>3</v>
      </c>
      <c r="B106" s="68" t="s">
        <v>254</v>
      </c>
      <c r="C106" s="57">
        <v>5323</v>
      </c>
      <c r="D106" s="57">
        <v>5325</v>
      </c>
      <c r="E106" s="57">
        <v>546</v>
      </c>
      <c r="F106" s="57">
        <v>1190</v>
      </c>
      <c r="G106" s="57">
        <v>2542</v>
      </c>
      <c r="H106" s="57">
        <v>2902</v>
      </c>
      <c r="I106" s="57">
        <v>3647</v>
      </c>
      <c r="J106" s="57">
        <v>2924</v>
      </c>
      <c r="K106" s="57">
        <v>3400</v>
      </c>
      <c r="L106" s="57">
        <v>3139</v>
      </c>
      <c r="M106" s="57">
        <v>3090</v>
      </c>
      <c r="N106" s="57">
        <v>3860</v>
      </c>
      <c r="O106" s="91"/>
      <c r="P106" s="51"/>
      <c r="Q106" s="3"/>
    </row>
    <row r="107" spans="1:20" ht="12" customHeight="1" x14ac:dyDescent="0.25">
      <c r="A107" s="54" t="s">
        <v>3</v>
      </c>
      <c r="B107" s="68" t="s">
        <v>273</v>
      </c>
      <c r="C107" s="57">
        <v>2958</v>
      </c>
      <c r="D107" s="57">
        <v>3730</v>
      </c>
      <c r="E107" s="57">
        <v>4511</v>
      </c>
      <c r="F107" s="57">
        <v>5160</v>
      </c>
      <c r="G107" s="57">
        <v>5118</v>
      </c>
      <c r="H107" s="57">
        <v>5581</v>
      </c>
      <c r="I107" s="57">
        <v>5311</v>
      </c>
      <c r="J107" s="57">
        <v>5790</v>
      </c>
      <c r="K107" s="57">
        <v>5693</v>
      </c>
      <c r="L107" s="57">
        <v>5735</v>
      </c>
      <c r="M107" s="57">
        <v>5385</v>
      </c>
      <c r="N107" s="57">
        <v>5890</v>
      </c>
      <c r="O107" s="91"/>
      <c r="P107" s="51"/>
      <c r="Q107" s="3"/>
    </row>
    <row r="108" spans="1:20" ht="12" customHeight="1" x14ac:dyDescent="0.25">
      <c r="A108" s="54" t="s">
        <v>3</v>
      </c>
      <c r="B108" s="68" t="s">
        <v>288</v>
      </c>
      <c r="C108" s="57">
        <v>4363</v>
      </c>
      <c r="D108" s="57">
        <v>5650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91"/>
      <c r="P108" s="51"/>
      <c r="Q108" s="2"/>
      <c r="R108" s="2" t="s">
        <v>0</v>
      </c>
      <c r="T108" s="2"/>
    </row>
    <row r="109" spans="1:20" ht="12" customHeight="1" x14ac:dyDescent="0.25">
      <c r="A109" s="54" t="s">
        <v>5</v>
      </c>
      <c r="B109" s="68" t="s">
        <v>254</v>
      </c>
      <c r="C109" s="57">
        <v>778808</v>
      </c>
      <c r="D109" s="57">
        <v>830126</v>
      </c>
      <c r="E109" s="57">
        <v>940002</v>
      </c>
      <c r="F109" s="57">
        <v>983699</v>
      </c>
      <c r="G109" s="57">
        <v>1067042</v>
      </c>
      <c r="H109" s="57">
        <v>916835</v>
      </c>
      <c r="I109" s="57">
        <v>911047</v>
      </c>
      <c r="J109" s="57">
        <v>1020010</v>
      </c>
      <c r="K109" s="57">
        <v>924014</v>
      </c>
      <c r="L109" s="57">
        <v>952862</v>
      </c>
      <c r="M109" s="57">
        <v>917954</v>
      </c>
      <c r="N109" s="57">
        <v>1087370</v>
      </c>
      <c r="O109" s="91"/>
      <c r="P109" s="51"/>
      <c r="Q109" s="3"/>
      <c r="T109" s="2"/>
    </row>
    <row r="110" spans="1:20" ht="12" customHeight="1" x14ac:dyDescent="0.25">
      <c r="A110" s="54" t="s">
        <v>5</v>
      </c>
      <c r="B110" s="68" t="s">
        <v>273</v>
      </c>
      <c r="C110" s="57">
        <v>858019</v>
      </c>
      <c r="D110" s="57">
        <v>949123</v>
      </c>
      <c r="E110" s="57">
        <v>1142471</v>
      </c>
      <c r="F110" s="57">
        <v>1107963</v>
      </c>
      <c r="G110" s="57">
        <v>1061993</v>
      </c>
      <c r="H110" s="57">
        <v>1059522</v>
      </c>
      <c r="I110" s="57">
        <v>1139720</v>
      </c>
      <c r="J110" s="57">
        <v>1055779</v>
      </c>
      <c r="K110" s="57">
        <v>855967</v>
      </c>
      <c r="L110" s="57">
        <v>1000784</v>
      </c>
      <c r="M110" s="57">
        <v>985933</v>
      </c>
      <c r="N110" s="57">
        <v>1464411</v>
      </c>
      <c r="O110" s="91"/>
      <c r="P110" s="51"/>
      <c r="Q110" s="3"/>
      <c r="T110" s="2"/>
    </row>
    <row r="111" spans="1:20" ht="12" customHeight="1" x14ac:dyDescent="0.25">
      <c r="A111" s="66" t="s">
        <v>5</v>
      </c>
      <c r="B111" s="98" t="s">
        <v>288</v>
      </c>
      <c r="C111" s="65">
        <v>897826</v>
      </c>
      <c r="D111" s="65">
        <v>1061070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91"/>
      <c r="P111" s="51"/>
      <c r="Q111" s="3" t="s">
        <v>0</v>
      </c>
      <c r="R111" s="2" t="s">
        <v>0</v>
      </c>
      <c r="S111" s="2"/>
      <c r="T111" s="2"/>
    </row>
    <row r="112" spans="1:20" ht="12" customHeight="1" x14ac:dyDescent="0.25">
      <c r="A112" s="2"/>
      <c r="B112" s="8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91"/>
      <c r="P112" s="51"/>
      <c r="Q112" s="3" t="s">
        <v>0</v>
      </c>
      <c r="S112" s="2"/>
      <c r="T112" s="2"/>
    </row>
    <row r="113" spans="1:20" ht="57" customHeight="1" x14ac:dyDescent="0.25">
      <c r="A113" s="52" t="s">
        <v>41</v>
      </c>
      <c r="B113" s="67" t="s">
        <v>72</v>
      </c>
      <c r="C113" s="53" t="s">
        <v>73</v>
      </c>
      <c r="D113" s="53" t="s">
        <v>74</v>
      </c>
      <c r="E113" s="53" t="s">
        <v>75</v>
      </c>
      <c r="F113" s="53" t="s">
        <v>76</v>
      </c>
      <c r="G113" s="53" t="s">
        <v>77</v>
      </c>
      <c r="H113" s="53" t="s">
        <v>78</v>
      </c>
      <c r="I113" s="53" t="s">
        <v>79</v>
      </c>
      <c r="J113" s="53" t="s">
        <v>80</v>
      </c>
      <c r="K113" s="53" t="s">
        <v>81</v>
      </c>
      <c r="L113" s="53" t="s">
        <v>82</v>
      </c>
      <c r="M113" s="53" t="s">
        <v>83</v>
      </c>
      <c r="N113" s="53" t="s">
        <v>84</v>
      </c>
      <c r="O113" s="91"/>
      <c r="P113" s="51"/>
      <c r="R113" s="3" t="s">
        <v>0</v>
      </c>
      <c r="S113" s="2"/>
      <c r="T113" s="2"/>
    </row>
    <row r="114" spans="1:20" ht="12.6" customHeight="1" x14ac:dyDescent="0.25">
      <c r="A114" s="71" t="s">
        <v>155</v>
      </c>
      <c r="B114" s="88" t="s">
        <v>254</v>
      </c>
      <c r="C114" s="72">
        <v>821652</v>
      </c>
      <c r="D114" s="72">
        <v>803176</v>
      </c>
      <c r="E114" s="72">
        <v>1125537</v>
      </c>
      <c r="F114" s="72">
        <v>828977</v>
      </c>
      <c r="G114" s="72">
        <v>945866</v>
      </c>
      <c r="H114" s="72">
        <v>1063291</v>
      </c>
      <c r="I114" s="72">
        <v>873073</v>
      </c>
      <c r="J114" s="72">
        <v>748626</v>
      </c>
      <c r="K114" s="72">
        <v>1048599</v>
      </c>
      <c r="L114" s="72">
        <v>909666</v>
      </c>
      <c r="M114" s="72">
        <v>1013571</v>
      </c>
      <c r="N114" s="72">
        <v>1091119</v>
      </c>
      <c r="O114" s="91"/>
      <c r="P114" s="51"/>
      <c r="R114" s="3"/>
      <c r="S114" s="2"/>
      <c r="T114" s="2"/>
    </row>
    <row r="115" spans="1:20" ht="12" customHeight="1" x14ac:dyDescent="0.25">
      <c r="A115" s="71" t="s">
        <v>155</v>
      </c>
      <c r="B115" s="88" t="s">
        <v>273</v>
      </c>
      <c r="C115" s="72">
        <v>910144</v>
      </c>
      <c r="D115" s="72">
        <v>901356</v>
      </c>
      <c r="E115" s="72">
        <v>1420865</v>
      </c>
      <c r="F115" s="72">
        <v>962836</v>
      </c>
      <c r="G115" s="72">
        <v>1117931</v>
      </c>
      <c r="H115" s="72">
        <v>1265812</v>
      </c>
      <c r="I115" s="72">
        <v>1021435</v>
      </c>
      <c r="J115" s="72">
        <v>901505</v>
      </c>
      <c r="K115" s="72">
        <v>1183010</v>
      </c>
      <c r="L115" s="72">
        <v>1038301</v>
      </c>
      <c r="M115" s="72">
        <v>1074119</v>
      </c>
      <c r="N115" s="72">
        <v>1048980</v>
      </c>
      <c r="O115" s="91"/>
      <c r="Q115" s="3" t="s">
        <v>0</v>
      </c>
      <c r="R115" s="2"/>
      <c r="S115" s="2"/>
      <c r="T115" s="2"/>
    </row>
    <row r="116" spans="1:20" ht="12" customHeight="1" x14ac:dyDescent="0.25">
      <c r="A116" s="73" t="s">
        <v>155</v>
      </c>
      <c r="B116" s="89" t="s">
        <v>288</v>
      </c>
      <c r="C116" s="74">
        <v>1017149</v>
      </c>
      <c r="D116" s="74">
        <v>994882</v>
      </c>
      <c r="E116" s="74"/>
      <c r="F116" s="74"/>
      <c r="G116" s="74"/>
      <c r="H116" s="99"/>
      <c r="I116" s="74"/>
      <c r="J116" s="74"/>
      <c r="K116" s="74"/>
      <c r="L116" s="74"/>
      <c r="M116" s="74"/>
      <c r="N116" s="74"/>
      <c r="O116" s="91"/>
      <c r="P116" s="91"/>
      <c r="Q116" s="90"/>
      <c r="R116" s="2"/>
      <c r="S116" s="2"/>
      <c r="T116" s="2"/>
    </row>
    <row r="117" spans="1:20" ht="12" customHeight="1" x14ac:dyDescent="0.25">
      <c r="A117" s="2"/>
      <c r="B117" s="8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91"/>
      <c r="Q117" s="2" t="s">
        <v>0</v>
      </c>
      <c r="R117" s="2"/>
      <c r="S117" s="2"/>
      <c r="T117" s="2" t="s">
        <v>0</v>
      </c>
    </row>
    <row r="118" spans="1:20" ht="12" customHeight="1" x14ac:dyDescent="0.25">
      <c r="A118" s="2"/>
      <c r="B118" s="83"/>
      <c r="C118" s="49"/>
      <c r="D118" s="2"/>
      <c r="E118" s="2"/>
      <c r="F118" s="13"/>
      <c r="G118" s="2"/>
      <c r="H118" s="2"/>
      <c r="I118" s="2"/>
      <c r="J118" s="2"/>
      <c r="K118" s="2"/>
      <c r="L118" s="2"/>
      <c r="M118" s="2"/>
      <c r="N118" s="2"/>
      <c r="O118" s="91"/>
      <c r="P118" s="2"/>
      <c r="Q118" s="2"/>
      <c r="R118" s="2"/>
      <c r="S118" s="2"/>
      <c r="T118" s="2"/>
    </row>
    <row r="119" spans="1:20" ht="12" customHeight="1" x14ac:dyDescent="0.25">
      <c r="A119" s="2"/>
      <c r="B119" s="83"/>
      <c r="C119" s="12"/>
      <c r="D119" s="12"/>
      <c r="E119" s="12"/>
      <c r="F119" s="12"/>
      <c r="G119" s="12" t="s">
        <v>0</v>
      </c>
      <c r="H119" s="12"/>
      <c r="I119" s="2"/>
      <c r="J119" s="12"/>
      <c r="K119" s="12" t="s">
        <v>0</v>
      </c>
      <c r="L119" s="12"/>
      <c r="M119" s="12"/>
      <c r="N119" s="12"/>
      <c r="O119" s="91"/>
      <c r="P119" s="2" t="s">
        <v>0</v>
      </c>
      <c r="Q119" s="2"/>
      <c r="R119" s="2"/>
      <c r="S119" s="2"/>
      <c r="T119" s="2"/>
    </row>
    <row r="120" spans="1:20" ht="12" customHeight="1" x14ac:dyDescent="0.25">
      <c r="A120" s="3" t="s">
        <v>0</v>
      </c>
      <c r="B120" s="70"/>
      <c r="C120" s="90"/>
      <c r="D120" s="90"/>
      <c r="E120" s="90"/>
      <c r="F120" s="90"/>
      <c r="G120" s="90" t="s">
        <v>0</v>
      </c>
      <c r="H120" s="90"/>
      <c r="I120" s="90"/>
      <c r="J120" s="90"/>
      <c r="K120" s="90"/>
      <c r="L120" s="90"/>
      <c r="M120" s="90"/>
      <c r="N120" s="90"/>
      <c r="O120" s="91"/>
      <c r="P120" s="2" t="s">
        <v>0</v>
      </c>
      <c r="Q120" s="2" t="s">
        <v>0</v>
      </c>
      <c r="R120" s="2" t="s">
        <v>0</v>
      </c>
      <c r="S120" s="2"/>
      <c r="T120" s="2"/>
    </row>
    <row r="121" spans="1:20" ht="12" customHeight="1" x14ac:dyDescent="0.25">
      <c r="A121" s="3"/>
      <c r="B121" s="70"/>
      <c r="C121" s="3"/>
      <c r="D121" s="3"/>
      <c r="E121" s="3"/>
      <c r="F121" s="3"/>
      <c r="G121" s="3" t="s">
        <v>0</v>
      </c>
      <c r="H121" s="3"/>
      <c r="I121" s="3"/>
      <c r="J121" s="3"/>
      <c r="K121" s="3"/>
      <c r="L121" s="3"/>
      <c r="M121" s="3"/>
      <c r="N121" s="3"/>
      <c r="O121" s="90"/>
      <c r="P121" s="2" t="s">
        <v>0</v>
      </c>
      <c r="Q121" s="2"/>
      <c r="R121" s="2"/>
      <c r="S121" s="2"/>
      <c r="T121" s="2"/>
    </row>
    <row r="122" spans="1:20" ht="12" customHeight="1" x14ac:dyDescent="0.25">
      <c r="A122" s="3"/>
      <c r="B122" s="70"/>
      <c r="C122" s="3" t="s">
        <v>0</v>
      </c>
      <c r="D122" s="3"/>
      <c r="E122" s="3"/>
      <c r="F122" s="3"/>
      <c r="G122" s="3" t="s">
        <v>0</v>
      </c>
      <c r="H122" s="3"/>
      <c r="I122" s="3"/>
      <c r="J122" s="3"/>
      <c r="K122" s="3"/>
      <c r="L122" s="3"/>
      <c r="M122" s="3"/>
      <c r="N122" s="3"/>
      <c r="O122" s="50"/>
      <c r="P122" s="2"/>
      <c r="Q122" s="2"/>
      <c r="R122" s="2"/>
      <c r="S122" s="2"/>
      <c r="T122" s="2"/>
    </row>
    <row r="123" spans="1:20" ht="12" customHeight="1" x14ac:dyDescent="0.25">
      <c r="A123" s="3"/>
      <c r="B123" s="70"/>
      <c r="C123" s="3"/>
      <c r="D123" s="3"/>
      <c r="E123" s="3"/>
      <c r="F123" s="3"/>
      <c r="G123" s="3" t="s">
        <v>12</v>
      </c>
      <c r="H123" s="3"/>
      <c r="I123" s="3"/>
      <c r="J123" s="3"/>
      <c r="K123" s="3"/>
      <c r="L123" s="3"/>
      <c r="M123" s="3"/>
      <c r="N123" s="3"/>
      <c r="O123" s="50"/>
      <c r="Q123" s="2"/>
      <c r="R123" s="2"/>
      <c r="S123" s="2"/>
      <c r="T123" s="2"/>
    </row>
    <row r="124" spans="1:20" ht="12" customHeight="1" x14ac:dyDescent="0.25">
      <c r="G124" t="s">
        <v>12</v>
      </c>
      <c r="O124" s="50"/>
      <c r="Q124" s="2" t="s">
        <v>0</v>
      </c>
      <c r="R124" s="2"/>
      <c r="S124" s="2"/>
      <c r="T124" s="2"/>
    </row>
    <row r="125" spans="1:20" ht="12" customHeight="1" x14ac:dyDescent="0.25">
      <c r="O125" s="50"/>
      <c r="Q125" s="2"/>
      <c r="R125" s="2"/>
      <c r="S125" s="2"/>
      <c r="T125" s="2"/>
    </row>
    <row r="126" spans="1:20" ht="12" customHeight="1" x14ac:dyDescent="0.25">
      <c r="O126" s="50"/>
      <c r="Q126" s="2"/>
      <c r="R126" s="2"/>
      <c r="S126" s="2"/>
      <c r="T126" s="2"/>
    </row>
    <row r="127" spans="1:20" ht="12" customHeight="1" x14ac:dyDescent="0.25">
      <c r="O127" s="50"/>
      <c r="Q127" s="2" t="s">
        <v>0</v>
      </c>
      <c r="R127" s="2" t="s">
        <v>0</v>
      </c>
      <c r="S127" s="2"/>
      <c r="T127" s="2"/>
    </row>
    <row r="128" spans="1:20" ht="12" customHeight="1" x14ac:dyDescent="0.25">
      <c r="O128" s="50"/>
      <c r="Q128" s="2"/>
      <c r="R128" s="2" t="s">
        <v>0</v>
      </c>
      <c r="S128" s="2"/>
      <c r="T128" s="2"/>
    </row>
    <row r="129" spans="15:21" ht="12" customHeight="1" x14ac:dyDescent="0.25">
      <c r="O129" s="50"/>
      <c r="Q129" s="2" t="s">
        <v>0</v>
      </c>
      <c r="R129" s="2" t="s">
        <v>0</v>
      </c>
      <c r="S129" s="2"/>
      <c r="T129" s="2"/>
    </row>
    <row r="130" spans="15:21" ht="12" customHeight="1" x14ac:dyDescent="0.25">
      <c r="O130" s="50"/>
      <c r="Q130" s="2"/>
      <c r="R130" s="2"/>
      <c r="S130" s="2"/>
      <c r="T130" s="2"/>
    </row>
    <row r="131" spans="15:21" ht="12" customHeight="1" x14ac:dyDescent="0.25">
      <c r="Q131" s="2" t="s">
        <v>0</v>
      </c>
      <c r="R131" s="2" t="s">
        <v>0</v>
      </c>
      <c r="S131" s="2"/>
      <c r="T131" s="2"/>
    </row>
    <row r="132" spans="15:21" ht="12" customHeight="1" x14ac:dyDescent="0.25">
      <c r="Q132" s="2"/>
      <c r="R132" s="2" t="s">
        <v>0</v>
      </c>
      <c r="S132" s="2"/>
      <c r="T132" s="2"/>
    </row>
    <row r="133" spans="15:21" ht="12" customHeight="1" x14ac:dyDescent="0.25">
      <c r="Q133" s="2" t="s">
        <v>0</v>
      </c>
      <c r="R133" s="2" t="s">
        <v>0</v>
      </c>
      <c r="S133" s="2"/>
      <c r="T133" s="2"/>
    </row>
    <row r="134" spans="15:21" ht="12" customHeight="1" x14ac:dyDescent="0.25">
      <c r="P134" s="2"/>
      <c r="Q134" s="2"/>
      <c r="R134" s="2"/>
      <c r="S134" s="2"/>
      <c r="T134" s="2"/>
    </row>
    <row r="135" spans="15:21" ht="12" customHeight="1" x14ac:dyDescent="0.25">
      <c r="P135" s="2"/>
      <c r="Q135" s="2" t="s">
        <v>0</v>
      </c>
      <c r="R135" s="2" t="s">
        <v>0</v>
      </c>
      <c r="S135" s="2"/>
      <c r="T135" s="2"/>
    </row>
    <row r="136" spans="15:21" ht="12" customHeight="1" x14ac:dyDescent="0.25">
      <c r="P136" s="2" t="s">
        <v>0</v>
      </c>
      <c r="Q136" s="2" t="s">
        <v>0</v>
      </c>
      <c r="R136" s="2" t="s">
        <v>0</v>
      </c>
      <c r="S136" s="2"/>
      <c r="T136" s="2"/>
    </row>
    <row r="137" spans="15:21" ht="12" customHeight="1" x14ac:dyDescent="0.25">
      <c r="P137" s="2"/>
      <c r="Q137" s="2"/>
      <c r="R137" s="2"/>
      <c r="S137" s="2"/>
      <c r="T137" s="2"/>
    </row>
    <row r="138" spans="15:21" ht="12" customHeight="1" x14ac:dyDescent="0.25">
      <c r="P138" s="2"/>
      <c r="Q138" s="2"/>
      <c r="R138" s="2"/>
      <c r="S138" s="2"/>
      <c r="T138" s="2"/>
    </row>
    <row r="139" spans="15:21" ht="12" customHeight="1" x14ac:dyDescent="0.25">
      <c r="P139" s="2"/>
      <c r="Q139" s="2" t="s">
        <v>0</v>
      </c>
      <c r="R139" s="2"/>
      <c r="S139" s="2"/>
      <c r="T139" s="2"/>
      <c r="U139" s="10"/>
    </row>
    <row r="140" spans="15:21" ht="12" customHeight="1" x14ac:dyDescent="0.25">
      <c r="P140" s="51"/>
      <c r="Q140" s="2" t="s">
        <v>0</v>
      </c>
      <c r="R140" s="2"/>
      <c r="S140" s="2"/>
      <c r="T140" s="13"/>
      <c r="U140" s="10"/>
    </row>
    <row r="141" spans="15:21" ht="10.95" customHeight="1" x14ac:dyDescent="0.25">
      <c r="P141" s="51"/>
      <c r="Q141" s="2" t="s">
        <v>0</v>
      </c>
      <c r="R141" s="2"/>
      <c r="S141" s="2"/>
      <c r="T141" s="2"/>
    </row>
    <row r="142" spans="15:21" ht="10.95" customHeight="1" x14ac:dyDescent="0.25">
      <c r="P142" s="2"/>
      <c r="Q142" s="2"/>
      <c r="R142" s="2"/>
      <c r="S142" s="2"/>
      <c r="T142" s="2"/>
    </row>
    <row r="143" spans="15:21" ht="12" customHeight="1" x14ac:dyDescent="0.25">
      <c r="P143" s="2"/>
      <c r="Q143" s="2"/>
      <c r="R143" s="2"/>
      <c r="S143" s="2"/>
      <c r="T143" s="2"/>
    </row>
    <row r="144" spans="15:21" ht="12" customHeight="1" x14ac:dyDescent="0.25">
      <c r="P144" s="2"/>
      <c r="Q144" s="2" t="s">
        <v>0</v>
      </c>
      <c r="R144" s="2"/>
      <c r="S144" s="2"/>
      <c r="T144" s="2"/>
    </row>
    <row r="145" spans="16:20" ht="12" customHeight="1" x14ac:dyDescent="0.25">
      <c r="P145" s="2" t="s">
        <v>0</v>
      </c>
      <c r="Q145" s="2"/>
      <c r="R145" s="2"/>
      <c r="S145" s="2"/>
      <c r="T145" s="2"/>
    </row>
    <row r="146" spans="16:20" ht="12" customHeight="1" x14ac:dyDescent="0.25">
      <c r="P146" s="2"/>
      <c r="Q146" s="2" t="s">
        <v>0</v>
      </c>
      <c r="R146" s="2"/>
      <c r="S146" s="2"/>
      <c r="T146" s="2"/>
    </row>
    <row r="147" spans="16:20" ht="11.1" customHeight="1" x14ac:dyDescent="0.25">
      <c r="P147" s="2" t="s">
        <v>0</v>
      </c>
      <c r="Q147" s="2" t="s">
        <v>0</v>
      </c>
      <c r="R147" s="2"/>
    </row>
    <row r="148" spans="16:20" x14ac:dyDescent="0.25">
      <c r="P148" s="2"/>
      <c r="Q148" s="2" t="s">
        <v>0</v>
      </c>
      <c r="R148" s="2"/>
    </row>
    <row r="149" spans="16:20" ht="12" customHeight="1" x14ac:dyDescent="0.25">
      <c r="P149" s="2" t="s">
        <v>0</v>
      </c>
      <c r="Q149" s="2" t="s">
        <v>0</v>
      </c>
      <c r="R149" s="2" t="s">
        <v>0</v>
      </c>
    </row>
    <row r="150" spans="16:20" ht="12" customHeight="1" x14ac:dyDescent="0.25">
      <c r="P150" s="2"/>
      <c r="Q150" s="2" t="s">
        <v>0</v>
      </c>
      <c r="R150" s="2" t="s">
        <v>0</v>
      </c>
    </row>
    <row r="151" spans="16:20" ht="12" customHeight="1" x14ac:dyDescent="0.25">
      <c r="P151" s="2" t="s">
        <v>0</v>
      </c>
      <c r="Q151" s="2"/>
      <c r="R151" s="2"/>
    </row>
    <row r="152" spans="16:20" ht="12" customHeight="1" x14ac:dyDescent="0.25">
      <c r="P152" s="2" t="s">
        <v>0</v>
      </c>
      <c r="Q152" s="2" t="s">
        <v>0</v>
      </c>
      <c r="R152" s="2" t="s">
        <v>0</v>
      </c>
    </row>
    <row r="153" spans="16:20" ht="12" customHeight="1" x14ac:dyDescent="0.25">
      <c r="P153" s="2" t="s">
        <v>0</v>
      </c>
      <c r="Q153" s="2" t="s">
        <v>0</v>
      </c>
      <c r="R153" s="2" t="s">
        <v>0</v>
      </c>
    </row>
    <row r="154" spans="16:20" ht="12" customHeight="1" x14ac:dyDescent="0.25">
      <c r="P154" s="2"/>
      <c r="Q154" s="2" t="s">
        <v>0</v>
      </c>
      <c r="R154" s="2" t="s">
        <v>0</v>
      </c>
    </row>
    <row r="155" spans="16:20" x14ac:dyDescent="0.25">
      <c r="P155" s="2" t="s">
        <v>0</v>
      </c>
      <c r="Q155" s="2" t="s">
        <v>0</v>
      </c>
      <c r="R155" s="2" t="s">
        <v>0</v>
      </c>
    </row>
    <row r="156" spans="16:20" x14ac:dyDescent="0.25">
      <c r="P156" s="2" t="s">
        <v>0</v>
      </c>
      <c r="Q156" s="2" t="s">
        <v>0</v>
      </c>
      <c r="R156" s="2" t="s">
        <v>0</v>
      </c>
    </row>
    <row r="157" spans="16:20" x14ac:dyDescent="0.25">
      <c r="P157" s="2" t="s">
        <v>0</v>
      </c>
      <c r="Q157" s="2" t="s">
        <v>0</v>
      </c>
      <c r="R157" s="2" t="s">
        <v>0</v>
      </c>
    </row>
    <row r="158" spans="16:20" x14ac:dyDescent="0.25">
      <c r="P158" s="2"/>
      <c r="Q158" s="2" t="s">
        <v>0</v>
      </c>
      <c r="R158" s="2" t="s">
        <v>0</v>
      </c>
    </row>
    <row r="159" spans="16:20" x14ac:dyDescent="0.25">
      <c r="P159" s="2" t="s">
        <v>0</v>
      </c>
    </row>
    <row r="160" spans="16:20" x14ac:dyDescent="0.25">
      <c r="P160" s="2" t="s">
        <v>0</v>
      </c>
    </row>
    <row r="161" spans="16:16" x14ac:dyDescent="0.25">
      <c r="P161" s="2"/>
    </row>
    <row r="162" spans="16:16" x14ac:dyDescent="0.25">
      <c r="P162" s="2" t="s">
        <v>0</v>
      </c>
    </row>
    <row r="163" spans="16:16" x14ac:dyDescent="0.25">
      <c r="P163" s="2" t="s">
        <v>0</v>
      </c>
    </row>
    <row r="164" spans="16:16" x14ac:dyDescent="0.25">
      <c r="P164" s="2" t="s">
        <v>0</v>
      </c>
    </row>
    <row r="165" spans="16:16" x14ac:dyDescent="0.25">
      <c r="P165" s="2" t="s">
        <v>0</v>
      </c>
    </row>
    <row r="166" spans="16:16" x14ac:dyDescent="0.25">
      <c r="P166" s="2" t="s">
        <v>0</v>
      </c>
    </row>
  </sheetData>
  <sortState xmlns:xlrd2="http://schemas.microsoft.com/office/spreadsheetml/2017/richdata2" ref="O10:P47">
    <sortCondition ref="O10:O47"/>
  </sortState>
  <phoneticPr fontId="23" type="noConversion"/>
  <hyperlinks>
    <hyperlink ref="A4" location="Content!A1" display="Back to content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X261"/>
  <sheetViews>
    <sheetView showGridLines="0" zoomScale="90" zoomScaleNormal="90" workbookViewId="0">
      <selection activeCell="E5" sqref="E5"/>
    </sheetView>
  </sheetViews>
  <sheetFormatPr defaultColWidth="11.44140625" defaultRowHeight="13.2" x14ac:dyDescent="0.25"/>
  <cols>
    <col min="1" max="1" width="11.44140625" customWidth="1"/>
    <col min="2" max="33" width="8.6640625" customWidth="1"/>
    <col min="34" max="34" width="11.44140625" customWidth="1"/>
    <col min="35" max="44" width="10.6640625" customWidth="1"/>
    <col min="258" max="289" width="8.6640625" customWidth="1"/>
    <col min="291" max="300" width="10.6640625" customWidth="1"/>
    <col min="514" max="545" width="8.6640625" customWidth="1"/>
    <col min="547" max="556" width="10.6640625" customWidth="1"/>
    <col min="770" max="801" width="8.6640625" customWidth="1"/>
    <col min="803" max="812" width="10.6640625" customWidth="1"/>
    <col min="1026" max="1057" width="8.6640625" customWidth="1"/>
    <col min="1059" max="1068" width="10.6640625" customWidth="1"/>
    <col min="1282" max="1313" width="8.6640625" customWidth="1"/>
    <col min="1315" max="1324" width="10.6640625" customWidth="1"/>
    <col min="1538" max="1569" width="8.6640625" customWidth="1"/>
    <col min="1571" max="1580" width="10.6640625" customWidth="1"/>
    <col min="1794" max="1825" width="8.6640625" customWidth="1"/>
    <col min="1827" max="1836" width="10.6640625" customWidth="1"/>
    <col min="2050" max="2081" width="8.6640625" customWidth="1"/>
    <col min="2083" max="2092" width="10.6640625" customWidth="1"/>
    <col min="2306" max="2337" width="8.6640625" customWidth="1"/>
    <col min="2339" max="2348" width="10.6640625" customWidth="1"/>
    <col min="2562" max="2593" width="8.6640625" customWidth="1"/>
    <col min="2595" max="2604" width="10.6640625" customWidth="1"/>
    <col min="2818" max="2849" width="8.6640625" customWidth="1"/>
    <col min="2851" max="2860" width="10.6640625" customWidth="1"/>
    <col min="3074" max="3105" width="8.6640625" customWidth="1"/>
    <col min="3107" max="3116" width="10.6640625" customWidth="1"/>
    <col min="3330" max="3361" width="8.6640625" customWidth="1"/>
    <col min="3363" max="3372" width="10.6640625" customWidth="1"/>
    <col min="3586" max="3617" width="8.6640625" customWidth="1"/>
    <col min="3619" max="3628" width="10.6640625" customWidth="1"/>
    <col min="3842" max="3873" width="8.6640625" customWidth="1"/>
    <col min="3875" max="3884" width="10.6640625" customWidth="1"/>
    <col min="4098" max="4129" width="8.6640625" customWidth="1"/>
    <col min="4131" max="4140" width="10.6640625" customWidth="1"/>
    <col min="4354" max="4385" width="8.6640625" customWidth="1"/>
    <col min="4387" max="4396" width="10.6640625" customWidth="1"/>
    <col min="4610" max="4641" width="8.6640625" customWidth="1"/>
    <col min="4643" max="4652" width="10.6640625" customWidth="1"/>
    <col min="4866" max="4897" width="8.6640625" customWidth="1"/>
    <col min="4899" max="4908" width="10.6640625" customWidth="1"/>
    <col min="5122" max="5153" width="8.6640625" customWidth="1"/>
    <col min="5155" max="5164" width="10.6640625" customWidth="1"/>
    <col min="5378" max="5409" width="8.6640625" customWidth="1"/>
    <col min="5411" max="5420" width="10.6640625" customWidth="1"/>
    <col min="5634" max="5665" width="8.6640625" customWidth="1"/>
    <col min="5667" max="5676" width="10.6640625" customWidth="1"/>
    <col min="5890" max="5921" width="8.6640625" customWidth="1"/>
    <col min="5923" max="5932" width="10.6640625" customWidth="1"/>
    <col min="6146" max="6177" width="8.6640625" customWidth="1"/>
    <col min="6179" max="6188" width="10.6640625" customWidth="1"/>
    <col min="6402" max="6433" width="8.6640625" customWidth="1"/>
    <col min="6435" max="6444" width="10.6640625" customWidth="1"/>
    <col min="6658" max="6689" width="8.6640625" customWidth="1"/>
    <col min="6691" max="6700" width="10.6640625" customWidth="1"/>
    <col min="6914" max="6945" width="8.6640625" customWidth="1"/>
    <col min="6947" max="6956" width="10.6640625" customWidth="1"/>
    <col min="7170" max="7201" width="8.6640625" customWidth="1"/>
    <col min="7203" max="7212" width="10.6640625" customWidth="1"/>
    <col min="7426" max="7457" width="8.6640625" customWidth="1"/>
    <col min="7459" max="7468" width="10.6640625" customWidth="1"/>
    <col min="7682" max="7713" width="8.6640625" customWidth="1"/>
    <col min="7715" max="7724" width="10.6640625" customWidth="1"/>
    <col min="7938" max="7969" width="8.6640625" customWidth="1"/>
    <col min="7971" max="7980" width="10.6640625" customWidth="1"/>
    <col min="8194" max="8225" width="8.6640625" customWidth="1"/>
    <col min="8227" max="8236" width="10.6640625" customWidth="1"/>
    <col min="8450" max="8481" width="8.6640625" customWidth="1"/>
    <col min="8483" max="8492" width="10.6640625" customWidth="1"/>
    <col min="8706" max="8737" width="8.6640625" customWidth="1"/>
    <col min="8739" max="8748" width="10.6640625" customWidth="1"/>
    <col min="8962" max="8993" width="8.6640625" customWidth="1"/>
    <col min="8995" max="9004" width="10.6640625" customWidth="1"/>
    <col min="9218" max="9249" width="8.6640625" customWidth="1"/>
    <col min="9251" max="9260" width="10.6640625" customWidth="1"/>
    <col min="9474" max="9505" width="8.6640625" customWidth="1"/>
    <col min="9507" max="9516" width="10.6640625" customWidth="1"/>
    <col min="9730" max="9761" width="8.6640625" customWidth="1"/>
    <col min="9763" max="9772" width="10.6640625" customWidth="1"/>
    <col min="9986" max="10017" width="8.6640625" customWidth="1"/>
    <col min="10019" max="10028" width="10.6640625" customWidth="1"/>
    <col min="10242" max="10273" width="8.6640625" customWidth="1"/>
    <col min="10275" max="10284" width="10.6640625" customWidth="1"/>
    <col min="10498" max="10529" width="8.6640625" customWidth="1"/>
    <col min="10531" max="10540" width="10.6640625" customWidth="1"/>
    <col min="10754" max="10785" width="8.6640625" customWidth="1"/>
    <col min="10787" max="10796" width="10.6640625" customWidth="1"/>
    <col min="11010" max="11041" width="8.6640625" customWidth="1"/>
    <col min="11043" max="11052" width="10.6640625" customWidth="1"/>
    <col min="11266" max="11297" width="8.6640625" customWidth="1"/>
    <col min="11299" max="11308" width="10.6640625" customWidth="1"/>
    <col min="11522" max="11553" width="8.6640625" customWidth="1"/>
    <col min="11555" max="11564" width="10.6640625" customWidth="1"/>
    <col min="11778" max="11809" width="8.6640625" customWidth="1"/>
    <col min="11811" max="11820" width="10.6640625" customWidth="1"/>
    <col min="12034" max="12065" width="8.6640625" customWidth="1"/>
    <col min="12067" max="12076" width="10.6640625" customWidth="1"/>
    <col min="12290" max="12321" width="8.6640625" customWidth="1"/>
    <col min="12323" max="12332" width="10.6640625" customWidth="1"/>
    <col min="12546" max="12577" width="8.6640625" customWidth="1"/>
    <col min="12579" max="12588" width="10.6640625" customWidth="1"/>
    <col min="12802" max="12833" width="8.6640625" customWidth="1"/>
    <col min="12835" max="12844" width="10.6640625" customWidth="1"/>
    <col min="13058" max="13089" width="8.6640625" customWidth="1"/>
    <col min="13091" max="13100" width="10.6640625" customWidth="1"/>
    <col min="13314" max="13345" width="8.6640625" customWidth="1"/>
    <col min="13347" max="13356" width="10.6640625" customWidth="1"/>
    <col min="13570" max="13601" width="8.6640625" customWidth="1"/>
    <col min="13603" max="13612" width="10.6640625" customWidth="1"/>
    <col min="13826" max="13857" width="8.6640625" customWidth="1"/>
    <col min="13859" max="13868" width="10.6640625" customWidth="1"/>
    <col min="14082" max="14113" width="8.6640625" customWidth="1"/>
    <col min="14115" max="14124" width="10.6640625" customWidth="1"/>
    <col min="14338" max="14369" width="8.6640625" customWidth="1"/>
    <col min="14371" max="14380" width="10.6640625" customWidth="1"/>
    <col min="14594" max="14625" width="8.6640625" customWidth="1"/>
    <col min="14627" max="14636" width="10.6640625" customWidth="1"/>
    <col min="14850" max="14881" width="8.6640625" customWidth="1"/>
    <col min="14883" max="14892" width="10.6640625" customWidth="1"/>
    <col min="15106" max="15137" width="8.6640625" customWidth="1"/>
    <col min="15139" max="15148" width="10.6640625" customWidth="1"/>
    <col min="15362" max="15393" width="8.6640625" customWidth="1"/>
    <col min="15395" max="15404" width="10.6640625" customWidth="1"/>
    <col min="15618" max="15649" width="8.6640625" customWidth="1"/>
    <col min="15651" max="15660" width="10.6640625" customWidth="1"/>
    <col min="15874" max="15905" width="8.6640625" customWidth="1"/>
    <col min="15907" max="15916" width="10.6640625" customWidth="1"/>
    <col min="16130" max="16161" width="8.6640625" customWidth="1"/>
    <col min="16163" max="16172" width="10.6640625" customWidth="1"/>
  </cols>
  <sheetData>
    <row r="5" spans="2:2" x14ac:dyDescent="0.25">
      <c r="B5" s="7" t="s">
        <v>70</v>
      </c>
    </row>
    <row r="25" spans="4:11" x14ac:dyDescent="0.25">
      <c r="D25" s="3"/>
      <c r="K25" s="3"/>
    </row>
    <row r="46" spans="4:12" x14ac:dyDescent="0.25">
      <c r="D46" s="3"/>
      <c r="L46" s="3"/>
    </row>
    <row r="67" spans="4:12" x14ac:dyDescent="0.25">
      <c r="D67" s="3"/>
      <c r="L67" s="3"/>
    </row>
    <row r="87" spans="4:24" x14ac:dyDescent="0.25">
      <c r="D87" s="3"/>
      <c r="L87" s="3"/>
      <c r="U87" s="102"/>
      <c r="V87" s="102"/>
    </row>
    <row r="88" spans="4:24" x14ac:dyDescent="0.25">
      <c r="X88" s="3"/>
    </row>
    <row r="108" spans="4:4" x14ac:dyDescent="0.25">
      <c r="D108" s="3"/>
    </row>
    <row r="129" spans="4:13" x14ac:dyDescent="0.25">
      <c r="D129" s="3"/>
      <c r="M129" s="3"/>
    </row>
    <row r="150" spans="4:12" x14ac:dyDescent="0.25">
      <c r="D150" s="3"/>
      <c r="L150" s="3"/>
    </row>
    <row r="171" spans="4:13" x14ac:dyDescent="0.25">
      <c r="D171" s="3"/>
      <c r="M171" s="3"/>
    </row>
    <row r="193" spans="4:12" x14ac:dyDescent="0.25">
      <c r="D193" s="3"/>
      <c r="L193" s="3"/>
    </row>
    <row r="214" spans="4:12" x14ac:dyDescent="0.25">
      <c r="D214" s="3"/>
      <c r="L214" s="3"/>
    </row>
    <row r="236" spans="4:13" x14ac:dyDescent="0.25">
      <c r="D236" s="3"/>
      <c r="M236" s="3"/>
    </row>
    <row r="260" spans="4:13" x14ac:dyDescent="0.25">
      <c r="M260" s="3"/>
    </row>
    <row r="261" spans="4:13" x14ac:dyDescent="0.25">
      <c r="D261" s="9"/>
    </row>
  </sheetData>
  <mergeCells count="1">
    <mergeCell ref="U87:V87"/>
  </mergeCells>
  <hyperlinks>
    <hyperlink ref="B5" location="Content!A1" display="Back to conten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0"/>
  <sheetViews>
    <sheetView showGridLines="0" workbookViewId="0">
      <selection activeCell="A7" sqref="A7"/>
    </sheetView>
  </sheetViews>
  <sheetFormatPr defaultColWidth="9.109375" defaultRowHeight="13.2" x14ac:dyDescent="0.25"/>
  <cols>
    <col min="1" max="1" width="22.88671875" customWidth="1"/>
    <col min="2" max="2" width="7.33203125" style="8" customWidth="1"/>
    <col min="3" max="14" width="11.6640625" customWidth="1"/>
    <col min="15" max="20" width="12.6640625" customWidth="1"/>
    <col min="257" max="257" width="22.88671875" customWidth="1"/>
    <col min="258" max="258" width="7.33203125" customWidth="1"/>
    <col min="259" max="270" width="11.6640625" customWidth="1"/>
    <col min="271" max="276" width="12.6640625" customWidth="1"/>
    <col min="513" max="513" width="22.88671875" customWidth="1"/>
    <col min="514" max="514" width="7.33203125" customWidth="1"/>
    <col min="515" max="526" width="11.6640625" customWidth="1"/>
    <col min="527" max="532" width="12.6640625" customWidth="1"/>
    <col min="769" max="769" width="22.88671875" customWidth="1"/>
    <col min="770" max="770" width="7.33203125" customWidth="1"/>
    <col min="771" max="782" width="11.6640625" customWidth="1"/>
    <col min="783" max="788" width="12.6640625" customWidth="1"/>
    <col min="1025" max="1025" width="22.88671875" customWidth="1"/>
    <col min="1026" max="1026" width="7.33203125" customWidth="1"/>
    <col min="1027" max="1038" width="11.6640625" customWidth="1"/>
    <col min="1039" max="1044" width="12.6640625" customWidth="1"/>
    <col min="1281" max="1281" width="22.88671875" customWidth="1"/>
    <col min="1282" max="1282" width="7.33203125" customWidth="1"/>
    <col min="1283" max="1294" width="11.6640625" customWidth="1"/>
    <col min="1295" max="1300" width="12.6640625" customWidth="1"/>
    <col min="1537" max="1537" width="22.88671875" customWidth="1"/>
    <col min="1538" max="1538" width="7.33203125" customWidth="1"/>
    <col min="1539" max="1550" width="11.6640625" customWidth="1"/>
    <col min="1551" max="1556" width="12.6640625" customWidth="1"/>
    <col min="1793" max="1793" width="22.88671875" customWidth="1"/>
    <col min="1794" max="1794" width="7.33203125" customWidth="1"/>
    <col min="1795" max="1806" width="11.6640625" customWidth="1"/>
    <col min="1807" max="1812" width="12.6640625" customWidth="1"/>
    <col min="2049" max="2049" width="22.88671875" customWidth="1"/>
    <col min="2050" max="2050" width="7.33203125" customWidth="1"/>
    <col min="2051" max="2062" width="11.6640625" customWidth="1"/>
    <col min="2063" max="2068" width="12.6640625" customWidth="1"/>
    <col min="2305" max="2305" width="22.88671875" customWidth="1"/>
    <col min="2306" max="2306" width="7.33203125" customWidth="1"/>
    <col min="2307" max="2318" width="11.6640625" customWidth="1"/>
    <col min="2319" max="2324" width="12.6640625" customWidth="1"/>
    <col min="2561" max="2561" width="22.88671875" customWidth="1"/>
    <col min="2562" max="2562" width="7.33203125" customWidth="1"/>
    <col min="2563" max="2574" width="11.6640625" customWidth="1"/>
    <col min="2575" max="2580" width="12.6640625" customWidth="1"/>
    <col min="2817" max="2817" width="22.88671875" customWidth="1"/>
    <col min="2818" max="2818" width="7.33203125" customWidth="1"/>
    <col min="2819" max="2830" width="11.6640625" customWidth="1"/>
    <col min="2831" max="2836" width="12.6640625" customWidth="1"/>
    <col min="3073" max="3073" width="22.88671875" customWidth="1"/>
    <col min="3074" max="3074" width="7.33203125" customWidth="1"/>
    <col min="3075" max="3086" width="11.6640625" customWidth="1"/>
    <col min="3087" max="3092" width="12.6640625" customWidth="1"/>
    <col min="3329" max="3329" width="22.88671875" customWidth="1"/>
    <col min="3330" max="3330" width="7.33203125" customWidth="1"/>
    <col min="3331" max="3342" width="11.6640625" customWidth="1"/>
    <col min="3343" max="3348" width="12.6640625" customWidth="1"/>
    <col min="3585" max="3585" width="22.88671875" customWidth="1"/>
    <col min="3586" max="3586" width="7.33203125" customWidth="1"/>
    <col min="3587" max="3598" width="11.6640625" customWidth="1"/>
    <col min="3599" max="3604" width="12.6640625" customWidth="1"/>
    <col min="3841" max="3841" width="22.88671875" customWidth="1"/>
    <col min="3842" max="3842" width="7.33203125" customWidth="1"/>
    <col min="3843" max="3854" width="11.6640625" customWidth="1"/>
    <col min="3855" max="3860" width="12.6640625" customWidth="1"/>
    <col min="4097" max="4097" width="22.88671875" customWidth="1"/>
    <col min="4098" max="4098" width="7.33203125" customWidth="1"/>
    <col min="4099" max="4110" width="11.6640625" customWidth="1"/>
    <col min="4111" max="4116" width="12.6640625" customWidth="1"/>
    <col min="4353" max="4353" width="22.88671875" customWidth="1"/>
    <col min="4354" max="4354" width="7.33203125" customWidth="1"/>
    <col min="4355" max="4366" width="11.6640625" customWidth="1"/>
    <col min="4367" max="4372" width="12.6640625" customWidth="1"/>
    <col min="4609" max="4609" width="22.88671875" customWidth="1"/>
    <col min="4610" max="4610" width="7.33203125" customWidth="1"/>
    <col min="4611" max="4622" width="11.6640625" customWidth="1"/>
    <col min="4623" max="4628" width="12.6640625" customWidth="1"/>
    <col min="4865" max="4865" width="22.88671875" customWidth="1"/>
    <col min="4866" max="4866" width="7.33203125" customWidth="1"/>
    <col min="4867" max="4878" width="11.6640625" customWidth="1"/>
    <col min="4879" max="4884" width="12.6640625" customWidth="1"/>
    <col min="5121" max="5121" width="22.88671875" customWidth="1"/>
    <col min="5122" max="5122" width="7.33203125" customWidth="1"/>
    <col min="5123" max="5134" width="11.6640625" customWidth="1"/>
    <col min="5135" max="5140" width="12.6640625" customWidth="1"/>
    <col min="5377" max="5377" width="22.88671875" customWidth="1"/>
    <col min="5378" max="5378" width="7.33203125" customWidth="1"/>
    <col min="5379" max="5390" width="11.6640625" customWidth="1"/>
    <col min="5391" max="5396" width="12.6640625" customWidth="1"/>
    <col min="5633" max="5633" width="22.88671875" customWidth="1"/>
    <col min="5634" max="5634" width="7.33203125" customWidth="1"/>
    <col min="5635" max="5646" width="11.6640625" customWidth="1"/>
    <col min="5647" max="5652" width="12.6640625" customWidth="1"/>
    <col min="5889" max="5889" width="22.88671875" customWidth="1"/>
    <col min="5890" max="5890" width="7.33203125" customWidth="1"/>
    <col min="5891" max="5902" width="11.6640625" customWidth="1"/>
    <col min="5903" max="5908" width="12.6640625" customWidth="1"/>
    <col min="6145" max="6145" width="22.88671875" customWidth="1"/>
    <col min="6146" max="6146" width="7.33203125" customWidth="1"/>
    <col min="6147" max="6158" width="11.6640625" customWidth="1"/>
    <col min="6159" max="6164" width="12.6640625" customWidth="1"/>
    <col min="6401" max="6401" width="22.88671875" customWidth="1"/>
    <col min="6402" max="6402" width="7.33203125" customWidth="1"/>
    <col min="6403" max="6414" width="11.6640625" customWidth="1"/>
    <col min="6415" max="6420" width="12.6640625" customWidth="1"/>
    <col min="6657" max="6657" width="22.88671875" customWidth="1"/>
    <col min="6658" max="6658" width="7.33203125" customWidth="1"/>
    <col min="6659" max="6670" width="11.6640625" customWidth="1"/>
    <col min="6671" max="6676" width="12.6640625" customWidth="1"/>
    <col min="6913" max="6913" width="22.88671875" customWidth="1"/>
    <col min="6914" max="6914" width="7.33203125" customWidth="1"/>
    <col min="6915" max="6926" width="11.6640625" customWidth="1"/>
    <col min="6927" max="6932" width="12.6640625" customWidth="1"/>
    <col min="7169" max="7169" width="22.88671875" customWidth="1"/>
    <col min="7170" max="7170" width="7.33203125" customWidth="1"/>
    <col min="7171" max="7182" width="11.6640625" customWidth="1"/>
    <col min="7183" max="7188" width="12.6640625" customWidth="1"/>
    <col min="7425" max="7425" width="22.88671875" customWidth="1"/>
    <col min="7426" max="7426" width="7.33203125" customWidth="1"/>
    <col min="7427" max="7438" width="11.6640625" customWidth="1"/>
    <col min="7439" max="7444" width="12.6640625" customWidth="1"/>
    <col min="7681" max="7681" width="22.88671875" customWidth="1"/>
    <col min="7682" max="7682" width="7.33203125" customWidth="1"/>
    <col min="7683" max="7694" width="11.6640625" customWidth="1"/>
    <col min="7695" max="7700" width="12.6640625" customWidth="1"/>
    <col min="7937" max="7937" width="22.88671875" customWidth="1"/>
    <col min="7938" max="7938" width="7.33203125" customWidth="1"/>
    <col min="7939" max="7950" width="11.6640625" customWidth="1"/>
    <col min="7951" max="7956" width="12.6640625" customWidth="1"/>
    <col min="8193" max="8193" width="22.88671875" customWidth="1"/>
    <col min="8194" max="8194" width="7.33203125" customWidth="1"/>
    <col min="8195" max="8206" width="11.6640625" customWidth="1"/>
    <col min="8207" max="8212" width="12.6640625" customWidth="1"/>
    <col min="8449" max="8449" width="22.88671875" customWidth="1"/>
    <col min="8450" max="8450" width="7.33203125" customWidth="1"/>
    <col min="8451" max="8462" width="11.6640625" customWidth="1"/>
    <col min="8463" max="8468" width="12.6640625" customWidth="1"/>
    <col min="8705" max="8705" width="22.88671875" customWidth="1"/>
    <col min="8706" max="8706" width="7.33203125" customWidth="1"/>
    <col min="8707" max="8718" width="11.6640625" customWidth="1"/>
    <col min="8719" max="8724" width="12.6640625" customWidth="1"/>
    <col min="8961" max="8961" width="22.88671875" customWidth="1"/>
    <col min="8962" max="8962" width="7.33203125" customWidth="1"/>
    <col min="8963" max="8974" width="11.6640625" customWidth="1"/>
    <col min="8975" max="8980" width="12.6640625" customWidth="1"/>
    <col min="9217" max="9217" width="22.88671875" customWidth="1"/>
    <col min="9218" max="9218" width="7.33203125" customWidth="1"/>
    <col min="9219" max="9230" width="11.6640625" customWidth="1"/>
    <col min="9231" max="9236" width="12.6640625" customWidth="1"/>
    <col min="9473" max="9473" width="22.88671875" customWidth="1"/>
    <col min="9474" max="9474" width="7.33203125" customWidth="1"/>
    <col min="9475" max="9486" width="11.6640625" customWidth="1"/>
    <col min="9487" max="9492" width="12.6640625" customWidth="1"/>
    <col min="9729" max="9729" width="22.88671875" customWidth="1"/>
    <col min="9730" max="9730" width="7.33203125" customWidth="1"/>
    <col min="9731" max="9742" width="11.6640625" customWidth="1"/>
    <col min="9743" max="9748" width="12.6640625" customWidth="1"/>
    <col min="9985" max="9985" width="22.88671875" customWidth="1"/>
    <col min="9986" max="9986" width="7.33203125" customWidth="1"/>
    <col min="9987" max="9998" width="11.6640625" customWidth="1"/>
    <col min="9999" max="10004" width="12.6640625" customWidth="1"/>
    <col min="10241" max="10241" width="22.88671875" customWidth="1"/>
    <col min="10242" max="10242" width="7.33203125" customWidth="1"/>
    <col min="10243" max="10254" width="11.6640625" customWidth="1"/>
    <col min="10255" max="10260" width="12.6640625" customWidth="1"/>
    <col min="10497" max="10497" width="22.88671875" customWidth="1"/>
    <col min="10498" max="10498" width="7.33203125" customWidth="1"/>
    <col min="10499" max="10510" width="11.6640625" customWidth="1"/>
    <col min="10511" max="10516" width="12.6640625" customWidth="1"/>
    <col min="10753" max="10753" width="22.88671875" customWidth="1"/>
    <col min="10754" max="10754" width="7.33203125" customWidth="1"/>
    <col min="10755" max="10766" width="11.6640625" customWidth="1"/>
    <col min="10767" max="10772" width="12.6640625" customWidth="1"/>
    <col min="11009" max="11009" width="22.88671875" customWidth="1"/>
    <col min="11010" max="11010" width="7.33203125" customWidth="1"/>
    <col min="11011" max="11022" width="11.6640625" customWidth="1"/>
    <col min="11023" max="11028" width="12.6640625" customWidth="1"/>
    <col min="11265" max="11265" width="22.88671875" customWidth="1"/>
    <col min="11266" max="11266" width="7.33203125" customWidth="1"/>
    <col min="11267" max="11278" width="11.6640625" customWidth="1"/>
    <col min="11279" max="11284" width="12.6640625" customWidth="1"/>
    <col min="11521" max="11521" width="22.88671875" customWidth="1"/>
    <col min="11522" max="11522" width="7.33203125" customWidth="1"/>
    <col min="11523" max="11534" width="11.6640625" customWidth="1"/>
    <col min="11535" max="11540" width="12.6640625" customWidth="1"/>
    <col min="11777" max="11777" width="22.88671875" customWidth="1"/>
    <col min="11778" max="11778" width="7.33203125" customWidth="1"/>
    <col min="11779" max="11790" width="11.6640625" customWidth="1"/>
    <col min="11791" max="11796" width="12.6640625" customWidth="1"/>
    <col min="12033" max="12033" width="22.88671875" customWidth="1"/>
    <col min="12034" max="12034" width="7.33203125" customWidth="1"/>
    <col min="12035" max="12046" width="11.6640625" customWidth="1"/>
    <col min="12047" max="12052" width="12.6640625" customWidth="1"/>
    <col min="12289" max="12289" width="22.88671875" customWidth="1"/>
    <col min="12290" max="12290" width="7.33203125" customWidth="1"/>
    <col min="12291" max="12302" width="11.6640625" customWidth="1"/>
    <col min="12303" max="12308" width="12.6640625" customWidth="1"/>
    <col min="12545" max="12545" width="22.88671875" customWidth="1"/>
    <col min="12546" max="12546" width="7.33203125" customWidth="1"/>
    <col min="12547" max="12558" width="11.6640625" customWidth="1"/>
    <col min="12559" max="12564" width="12.6640625" customWidth="1"/>
    <col min="12801" max="12801" width="22.88671875" customWidth="1"/>
    <col min="12802" max="12802" width="7.33203125" customWidth="1"/>
    <col min="12803" max="12814" width="11.6640625" customWidth="1"/>
    <col min="12815" max="12820" width="12.6640625" customWidth="1"/>
    <col min="13057" max="13057" width="22.88671875" customWidth="1"/>
    <col min="13058" max="13058" width="7.33203125" customWidth="1"/>
    <col min="13059" max="13070" width="11.6640625" customWidth="1"/>
    <col min="13071" max="13076" width="12.6640625" customWidth="1"/>
    <col min="13313" max="13313" width="22.88671875" customWidth="1"/>
    <col min="13314" max="13314" width="7.33203125" customWidth="1"/>
    <col min="13315" max="13326" width="11.6640625" customWidth="1"/>
    <col min="13327" max="13332" width="12.6640625" customWidth="1"/>
    <col min="13569" max="13569" width="22.88671875" customWidth="1"/>
    <col min="13570" max="13570" width="7.33203125" customWidth="1"/>
    <col min="13571" max="13582" width="11.6640625" customWidth="1"/>
    <col min="13583" max="13588" width="12.6640625" customWidth="1"/>
    <col min="13825" max="13825" width="22.88671875" customWidth="1"/>
    <col min="13826" max="13826" width="7.33203125" customWidth="1"/>
    <col min="13827" max="13838" width="11.6640625" customWidth="1"/>
    <col min="13839" max="13844" width="12.6640625" customWidth="1"/>
    <col min="14081" max="14081" width="22.88671875" customWidth="1"/>
    <col min="14082" max="14082" width="7.33203125" customWidth="1"/>
    <col min="14083" max="14094" width="11.6640625" customWidth="1"/>
    <col min="14095" max="14100" width="12.6640625" customWidth="1"/>
    <col min="14337" max="14337" width="22.88671875" customWidth="1"/>
    <col min="14338" max="14338" width="7.33203125" customWidth="1"/>
    <col min="14339" max="14350" width="11.6640625" customWidth="1"/>
    <col min="14351" max="14356" width="12.6640625" customWidth="1"/>
    <col min="14593" max="14593" width="22.88671875" customWidth="1"/>
    <col min="14594" max="14594" width="7.33203125" customWidth="1"/>
    <col min="14595" max="14606" width="11.6640625" customWidth="1"/>
    <col min="14607" max="14612" width="12.6640625" customWidth="1"/>
    <col min="14849" max="14849" width="22.88671875" customWidth="1"/>
    <col min="14850" max="14850" width="7.33203125" customWidth="1"/>
    <col min="14851" max="14862" width="11.6640625" customWidth="1"/>
    <col min="14863" max="14868" width="12.6640625" customWidth="1"/>
    <col min="15105" max="15105" width="22.88671875" customWidth="1"/>
    <col min="15106" max="15106" width="7.33203125" customWidth="1"/>
    <col min="15107" max="15118" width="11.6640625" customWidth="1"/>
    <col min="15119" max="15124" width="12.6640625" customWidth="1"/>
    <col min="15361" max="15361" width="22.88671875" customWidth="1"/>
    <col min="15362" max="15362" width="7.33203125" customWidth="1"/>
    <col min="15363" max="15374" width="11.6640625" customWidth="1"/>
    <col min="15375" max="15380" width="12.6640625" customWidth="1"/>
    <col min="15617" max="15617" width="22.88671875" customWidth="1"/>
    <col min="15618" max="15618" width="7.33203125" customWidth="1"/>
    <col min="15619" max="15630" width="11.6640625" customWidth="1"/>
    <col min="15631" max="15636" width="12.6640625" customWidth="1"/>
    <col min="15873" max="15873" width="22.88671875" customWidth="1"/>
    <col min="15874" max="15874" width="7.33203125" customWidth="1"/>
    <col min="15875" max="15886" width="11.6640625" customWidth="1"/>
    <col min="15887" max="15892" width="12.6640625" customWidth="1"/>
    <col min="16129" max="16129" width="22.88671875" customWidth="1"/>
    <col min="16130" max="16130" width="7.33203125" customWidth="1"/>
    <col min="16131" max="16142" width="11.6640625" customWidth="1"/>
    <col min="16143" max="16148" width="12.6640625" customWidth="1"/>
  </cols>
  <sheetData>
    <row r="1" spans="1:19" ht="12.75" customHeight="1" x14ac:dyDescent="0.25"/>
    <row r="2" spans="1:19" ht="12.75" customHeight="1" x14ac:dyDescent="0.25">
      <c r="D2" s="3" t="s">
        <v>0</v>
      </c>
    </row>
    <row r="3" spans="1:19" ht="12.75" customHeight="1" x14ac:dyDescent="0.25">
      <c r="D3" t="s">
        <v>0</v>
      </c>
      <c r="E3" s="3" t="s">
        <v>0</v>
      </c>
    </row>
    <row r="4" spans="1:19" ht="12.75" customHeight="1" x14ac:dyDescent="0.25"/>
    <row r="5" spans="1:19" ht="12.75" customHeight="1" x14ac:dyDescent="0.25">
      <c r="A5" s="7" t="s">
        <v>70</v>
      </c>
    </row>
    <row r="6" spans="1:19" ht="12.75" customHeight="1" x14ac:dyDescent="0.25">
      <c r="D6" s="10"/>
      <c r="E6" s="10"/>
      <c r="F6" s="10" t="s">
        <v>0</v>
      </c>
      <c r="G6" s="10"/>
      <c r="H6" s="10"/>
      <c r="I6" s="10"/>
      <c r="J6" s="10"/>
      <c r="K6" s="10"/>
      <c r="L6" s="10"/>
      <c r="M6" s="10"/>
      <c r="N6" s="10"/>
    </row>
    <row r="7" spans="1:19" ht="56.4" x14ac:dyDescent="0.25">
      <c r="A7" s="52" t="s">
        <v>41</v>
      </c>
      <c r="B7" s="67" t="s">
        <v>72</v>
      </c>
      <c r="C7" s="53" t="s">
        <v>73</v>
      </c>
      <c r="D7" s="53" t="s">
        <v>74</v>
      </c>
      <c r="E7" s="53" t="s">
        <v>75</v>
      </c>
      <c r="F7" s="53" t="s">
        <v>76</v>
      </c>
      <c r="G7" s="53" t="s">
        <v>77</v>
      </c>
      <c r="H7" s="53" t="s">
        <v>78</v>
      </c>
      <c r="I7" s="53" t="s">
        <v>79</v>
      </c>
      <c r="J7" s="53" t="s">
        <v>80</v>
      </c>
      <c r="K7" s="53" t="s">
        <v>81</v>
      </c>
      <c r="L7" s="53" t="s">
        <v>82</v>
      </c>
      <c r="M7" s="53" t="s">
        <v>83</v>
      </c>
      <c r="N7" s="53" t="s">
        <v>84</v>
      </c>
      <c r="O7" s="49"/>
    </row>
    <row r="8" spans="1:19" ht="12" customHeight="1" x14ac:dyDescent="0.25">
      <c r="A8" s="54" t="s">
        <v>29</v>
      </c>
      <c r="B8" s="68" t="s">
        <v>254</v>
      </c>
      <c r="C8" s="57">
        <v>29302</v>
      </c>
      <c r="D8" s="57">
        <v>47918</v>
      </c>
      <c r="E8" s="57">
        <v>69850</v>
      </c>
      <c r="F8" s="57">
        <v>89971</v>
      </c>
      <c r="G8" s="57">
        <v>112335</v>
      </c>
      <c r="H8" s="57">
        <v>132722</v>
      </c>
      <c r="I8" s="57">
        <v>155682</v>
      </c>
      <c r="J8" s="57">
        <v>180158</v>
      </c>
      <c r="K8" s="57">
        <v>201818</v>
      </c>
      <c r="L8" s="57">
        <v>220838</v>
      </c>
      <c r="M8" s="57">
        <v>248976</v>
      </c>
      <c r="N8" s="57">
        <v>260847</v>
      </c>
      <c r="O8" s="49"/>
      <c r="P8" s="2" t="s">
        <v>0</v>
      </c>
      <c r="Q8" s="2" t="s">
        <v>12</v>
      </c>
      <c r="R8" s="2" t="s">
        <v>0</v>
      </c>
      <c r="S8" s="2"/>
    </row>
    <row r="9" spans="1:19" ht="12" customHeight="1" x14ac:dyDescent="0.25">
      <c r="A9" s="54" t="s">
        <v>29</v>
      </c>
      <c r="B9" s="68" t="s">
        <v>273</v>
      </c>
      <c r="C9" s="57">
        <v>32486</v>
      </c>
      <c r="D9" s="57">
        <v>51571</v>
      </c>
      <c r="E9" s="57">
        <v>72544</v>
      </c>
      <c r="F9" s="57">
        <v>93992</v>
      </c>
      <c r="G9" s="57">
        <v>117540</v>
      </c>
      <c r="H9" s="57">
        <v>142119</v>
      </c>
      <c r="I9" s="57">
        <v>169827</v>
      </c>
      <c r="J9" s="57">
        <v>193008</v>
      </c>
      <c r="K9" s="57">
        <v>212162</v>
      </c>
      <c r="L9" s="57">
        <v>237638</v>
      </c>
      <c r="M9" s="57">
        <v>259398</v>
      </c>
      <c r="N9" s="57">
        <v>268817</v>
      </c>
      <c r="O9" s="49"/>
      <c r="P9" s="2" t="s">
        <v>0</v>
      </c>
      <c r="Q9" s="2" t="s">
        <v>0</v>
      </c>
      <c r="R9" s="2"/>
      <c r="S9" s="2"/>
    </row>
    <row r="10" spans="1:19" ht="12" customHeight="1" x14ac:dyDescent="0.25">
      <c r="A10" s="54" t="s">
        <v>29</v>
      </c>
      <c r="B10" s="68" t="s">
        <v>288</v>
      </c>
      <c r="C10" s="57">
        <v>22076</v>
      </c>
      <c r="D10" s="57">
        <v>37382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0" t="s">
        <v>0</v>
      </c>
      <c r="P10" s="2"/>
      <c r="Q10" s="2"/>
      <c r="R10" s="2"/>
      <c r="S10" s="2"/>
    </row>
    <row r="11" spans="1:19" ht="12" customHeight="1" x14ac:dyDescent="0.25">
      <c r="A11" s="54" t="s">
        <v>28</v>
      </c>
      <c r="B11" s="68" t="s">
        <v>254</v>
      </c>
      <c r="C11" s="57">
        <v>55334</v>
      </c>
      <c r="D11" s="57">
        <v>115954</v>
      </c>
      <c r="E11" s="57">
        <v>188846</v>
      </c>
      <c r="F11" s="57">
        <v>246660</v>
      </c>
      <c r="G11" s="57">
        <v>315371</v>
      </c>
      <c r="H11" s="57">
        <v>386328</v>
      </c>
      <c r="I11" s="57">
        <v>447055</v>
      </c>
      <c r="J11" s="57">
        <v>515623</v>
      </c>
      <c r="K11" s="57">
        <v>582756</v>
      </c>
      <c r="L11" s="57">
        <v>644540</v>
      </c>
      <c r="M11" s="57">
        <v>713652</v>
      </c>
      <c r="N11" s="57">
        <v>777688</v>
      </c>
      <c r="O11" s="50" t="s">
        <v>0</v>
      </c>
      <c r="P11" s="2" t="s">
        <v>0</v>
      </c>
      <c r="Q11" s="2"/>
      <c r="R11" s="2" t="s">
        <v>0</v>
      </c>
      <c r="S11" s="2"/>
    </row>
    <row r="12" spans="1:19" ht="12" customHeight="1" x14ac:dyDescent="0.25">
      <c r="A12" s="54" t="s">
        <v>28</v>
      </c>
      <c r="B12" s="68" t="s">
        <v>273</v>
      </c>
      <c r="C12" s="57">
        <v>63300</v>
      </c>
      <c r="D12" s="57">
        <v>127623</v>
      </c>
      <c r="E12" s="57">
        <v>198331</v>
      </c>
      <c r="F12" s="57">
        <v>259553</v>
      </c>
      <c r="G12" s="57">
        <v>336684</v>
      </c>
      <c r="H12" s="57">
        <v>426140</v>
      </c>
      <c r="I12" s="57">
        <v>500299</v>
      </c>
      <c r="J12" s="57">
        <v>581948</v>
      </c>
      <c r="K12" s="57">
        <v>664611</v>
      </c>
      <c r="L12" s="57">
        <v>741486</v>
      </c>
      <c r="M12" s="57">
        <v>822303</v>
      </c>
      <c r="N12" s="57">
        <v>890823</v>
      </c>
      <c r="O12" s="50" t="s">
        <v>0</v>
      </c>
      <c r="P12" s="2" t="s">
        <v>0</v>
      </c>
      <c r="Q12" s="2"/>
      <c r="R12" s="2" t="s">
        <v>0</v>
      </c>
      <c r="S12" s="2"/>
    </row>
    <row r="13" spans="1:19" ht="12" customHeight="1" x14ac:dyDescent="0.25">
      <c r="A13" s="54" t="s">
        <v>28</v>
      </c>
      <c r="B13" s="68" t="s">
        <v>288</v>
      </c>
      <c r="C13" s="57">
        <v>66264</v>
      </c>
      <c r="D13" s="57">
        <v>143647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0" t="s">
        <v>0</v>
      </c>
      <c r="P13" s="2"/>
      <c r="Q13" s="2"/>
      <c r="R13" s="2"/>
      <c r="S13" s="2"/>
    </row>
    <row r="14" spans="1:19" ht="12" customHeight="1" x14ac:dyDescent="0.25">
      <c r="A14" s="54" t="s">
        <v>42</v>
      </c>
      <c r="B14" s="68" t="s">
        <v>254</v>
      </c>
      <c r="C14" s="57">
        <v>15674</v>
      </c>
      <c r="D14" s="57">
        <v>31833</v>
      </c>
      <c r="E14" s="57">
        <v>52553</v>
      </c>
      <c r="F14" s="57">
        <v>68977</v>
      </c>
      <c r="G14" s="57">
        <v>86143</v>
      </c>
      <c r="H14" s="57">
        <v>108751</v>
      </c>
      <c r="I14" s="57">
        <v>124847</v>
      </c>
      <c r="J14" s="57">
        <v>142688</v>
      </c>
      <c r="K14" s="57">
        <v>163482</v>
      </c>
      <c r="L14" s="57">
        <v>179270</v>
      </c>
      <c r="M14" s="57">
        <v>197648</v>
      </c>
      <c r="N14" s="57">
        <v>215250</v>
      </c>
      <c r="O14" s="50"/>
    </row>
    <row r="15" spans="1:19" ht="12" customHeight="1" x14ac:dyDescent="0.25">
      <c r="A15" s="54" t="s">
        <v>42</v>
      </c>
      <c r="B15" s="68" t="s">
        <v>273</v>
      </c>
      <c r="C15" s="57">
        <v>18850</v>
      </c>
      <c r="D15" s="57">
        <v>36745</v>
      </c>
      <c r="E15" s="57">
        <v>63052</v>
      </c>
      <c r="F15" s="57">
        <v>81556</v>
      </c>
      <c r="G15" s="57">
        <v>102179</v>
      </c>
      <c r="H15" s="57">
        <v>126690</v>
      </c>
      <c r="I15" s="57">
        <v>146982</v>
      </c>
      <c r="J15" s="57">
        <v>163185</v>
      </c>
      <c r="K15" s="57">
        <v>182886</v>
      </c>
      <c r="L15" s="57">
        <v>201753</v>
      </c>
      <c r="M15" s="57">
        <v>220763</v>
      </c>
      <c r="N15" s="57">
        <v>239150</v>
      </c>
      <c r="O15" s="50"/>
    </row>
    <row r="16" spans="1:19" ht="12" customHeight="1" x14ac:dyDescent="0.25">
      <c r="A16" s="54" t="s">
        <v>42</v>
      </c>
      <c r="B16" s="68" t="s">
        <v>288</v>
      </c>
      <c r="C16" s="57">
        <v>17552</v>
      </c>
      <c r="D16" s="57">
        <v>37562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0" t="s">
        <v>0</v>
      </c>
    </row>
    <row r="17" spans="1:15" ht="12" customHeight="1" x14ac:dyDescent="0.25">
      <c r="A17" s="54" t="s">
        <v>25</v>
      </c>
      <c r="B17" s="68" t="s">
        <v>254</v>
      </c>
      <c r="C17" s="57">
        <v>5161</v>
      </c>
      <c r="D17" s="57">
        <v>9578</v>
      </c>
      <c r="E17" s="57">
        <v>15374</v>
      </c>
      <c r="F17" s="57">
        <v>20795</v>
      </c>
      <c r="G17" s="57">
        <v>27213</v>
      </c>
      <c r="H17" s="57">
        <v>33224</v>
      </c>
      <c r="I17" s="57">
        <v>39224</v>
      </c>
      <c r="J17" s="57">
        <v>43920</v>
      </c>
      <c r="K17" s="57">
        <v>49428</v>
      </c>
      <c r="L17" s="57">
        <v>54217</v>
      </c>
      <c r="M17" s="57">
        <v>58898</v>
      </c>
      <c r="N17" s="57">
        <v>63828</v>
      </c>
      <c r="O17" s="50"/>
    </row>
    <row r="18" spans="1:15" ht="12" customHeight="1" x14ac:dyDescent="0.25">
      <c r="A18" s="54" t="s">
        <v>25</v>
      </c>
      <c r="B18" s="68" t="s">
        <v>273</v>
      </c>
      <c r="C18" s="57">
        <v>5184</v>
      </c>
      <c r="D18" s="57">
        <v>10210</v>
      </c>
      <c r="E18" s="57">
        <v>16799</v>
      </c>
      <c r="F18" s="57">
        <v>22802</v>
      </c>
      <c r="G18" s="57">
        <v>29639</v>
      </c>
      <c r="H18" s="57">
        <v>36714</v>
      </c>
      <c r="I18" s="57">
        <v>43214</v>
      </c>
      <c r="J18" s="57">
        <v>48160</v>
      </c>
      <c r="K18" s="57">
        <v>53541</v>
      </c>
      <c r="L18" s="57">
        <v>59126</v>
      </c>
      <c r="M18" s="57">
        <v>64673</v>
      </c>
      <c r="N18" s="57">
        <v>69431</v>
      </c>
      <c r="O18" s="50"/>
    </row>
    <row r="19" spans="1:15" ht="12" customHeight="1" x14ac:dyDescent="0.25">
      <c r="A19" s="54" t="s">
        <v>25</v>
      </c>
      <c r="B19" s="68" t="s">
        <v>288</v>
      </c>
      <c r="C19" s="57">
        <v>4480</v>
      </c>
      <c r="D19" s="57">
        <v>9156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0"/>
    </row>
    <row r="20" spans="1:15" ht="12" customHeight="1" x14ac:dyDescent="0.25">
      <c r="A20" s="54" t="s">
        <v>20</v>
      </c>
      <c r="B20" s="68" t="s">
        <v>254</v>
      </c>
      <c r="C20" s="57">
        <v>37247</v>
      </c>
      <c r="D20" s="57">
        <v>73157</v>
      </c>
      <c r="E20" s="57">
        <v>114493</v>
      </c>
      <c r="F20" s="57">
        <v>146236</v>
      </c>
      <c r="G20" s="57">
        <v>178795</v>
      </c>
      <c r="H20" s="57">
        <v>217199</v>
      </c>
      <c r="I20" s="57">
        <v>247081</v>
      </c>
      <c r="J20" s="57">
        <v>278966</v>
      </c>
      <c r="K20" s="57">
        <v>313563</v>
      </c>
      <c r="L20" s="57">
        <v>347479</v>
      </c>
      <c r="M20" s="57">
        <v>380692</v>
      </c>
      <c r="N20" s="57">
        <v>408397</v>
      </c>
      <c r="O20" s="50"/>
    </row>
    <row r="21" spans="1:15" ht="12" customHeight="1" x14ac:dyDescent="0.25">
      <c r="A21" s="54" t="s">
        <v>20</v>
      </c>
      <c r="B21" s="68" t="s">
        <v>273</v>
      </c>
      <c r="C21" s="57">
        <v>43573</v>
      </c>
      <c r="D21" s="57">
        <v>87633</v>
      </c>
      <c r="E21" s="57">
        <v>144633</v>
      </c>
      <c r="F21" s="57">
        <v>188681</v>
      </c>
      <c r="G21" s="57">
        <v>234442</v>
      </c>
      <c r="H21" s="57">
        <v>290969</v>
      </c>
      <c r="I21" s="57">
        <v>330138</v>
      </c>
      <c r="J21" s="57">
        <v>370087</v>
      </c>
      <c r="K21" s="57">
        <v>412872</v>
      </c>
      <c r="L21" s="57">
        <v>455600</v>
      </c>
      <c r="M21" s="57">
        <v>496790</v>
      </c>
      <c r="N21" s="57">
        <v>525853</v>
      </c>
      <c r="O21" s="50"/>
    </row>
    <row r="22" spans="1:15" ht="12" customHeight="1" x14ac:dyDescent="0.25">
      <c r="A22" s="54" t="s">
        <v>20</v>
      </c>
      <c r="B22" s="68" t="s">
        <v>288</v>
      </c>
      <c r="C22" s="57">
        <v>50508</v>
      </c>
      <c r="D22" s="57">
        <v>98749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0"/>
    </row>
    <row r="23" spans="1:15" ht="12" customHeight="1" x14ac:dyDescent="0.25">
      <c r="A23" s="54" t="s">
        <v>8</v>
      </c>
      <c r="B23" s="68" t="s">
        <v>254</v>
      </c>
      <c r="C23" s="57">
        <v>92212</v>
      </c>
      <c r="D23" s="57">
        <v>189802</v>
      </c>
      <c r="E23" s="57">
        <v>298074</v>
      </c>
      <c r="F23" s="57">
        <v>407781</v>
      </c>
      <c r="G23" s="57">
        <v>547264</v>
      </c>
      <c r="H23" s="57">
        <v>680851</v>
      </c>
      <c r="I23" s="57">
        <v>816282</v>
      </c>
      <c r="J23" s="57">
        <v>971229</v>
      </c>
      <c r="K23" s="57">
        <v>1114439</v>
      </c>
      <c r="L23" s="57">
        <v>1251442</v>
      </c>
      <c r="M23" s="57">
        <v>1410208</v>
      </c>
      <c r="N23" s="57">
        <v>1574492</v>
      </c>
      <c r="O23" s="50"/>
    </row>
    <row r="24" spans="1:15" ht="12" customHeight="1" x14ac:dyDescent="0.25">
      <c r="A24" s="54" t="s">
        <v>8</v>
      </c>
      <c r="B24" s="68" t="s">
        <v>273</v>
      </c>
      <c r="C24" s="57">
        <v>103872</v>
      </c>
      <c r="D24" s="57">
        <v>199739</v>
      </c>
      <c r="E24" s="57">
        <v>345913</v>
      </c>
      <c r="F24" s="57">
        <v>464040</v>
      </c>
      <c r="G24" s="57">
        <v>591548</v>
      </c>
      <c r="H24" s="57">
        <v>733766</v>
      </c>
      <c r="I24" s="57">
        <v>910508</v>
      </c>
      <c r="J24" s="57">
        <v>1063986</v>
      </c>
      <c r="K24" s="57">
        <v>1209752</v>
      </c>
      <c r="L24" s="57">
        <v>1372886</v>
      </c>
      <c r="M24" s="57">
        <v>1533579</v>
      </c>
      <c r="N24" s="57">
        <v>1720157</v>
      </c>
      <c r="O24" s="50"/>
    </row>
    <row r="25" spans="1:15" ht="12" customHeight="1" x14ac:dyDescent="0.25">
      <c r="A25" s="54" t="s">
        <v>8</v>
      </c>
      <c r="B25" s="68" t="s">
        <v>288</v>
      </c>
      <c r="C25" s="57">
        <v>118503</v>
      </c>
      <c r="D25" s="57">
        <v>238818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/>
    </row>
    <row r="26" spans="1:15" ht="12" customHeight="1" x14ac:dyDescent="0.25">
      <c r="A26" s="58" t="s">
        <v>27</v>
      </c>
      <c r="B26" s="68" t="s">
        <v>254</v>
      </c>
      <c r="C26" s="57">
        <v>2034</v>
      </c>
      <c r="D26" s="57">
        <v>3967</v>
      </c>
      <c r="E26" s="57">
        <v>6674</v>
      </c>
      <c r="F26" s="57">
        <v>9031</v>
      </c>
      <c r="G26" s="57">
        <v>11726</v>
      </c>
      <c r="H26" s="57">
        <v>14549</v>
      </c>
      <c r="I26" s="57">
        <v>17385</v>
      </c>
      <c r="J26" s="57">
        <v>19859</v>
      </c>
      <c r="K26" s="57">
        <v>21975</v>
      </c>
      <c r="L26" s="57">
        <v>24363</v>
      </c>
      <c r="M26" s="57">
        <v>26674</v>
      </c>
      <c r="N26" s="57">
        <v>28683</v>
      </c>
      <c r="O26" s="50"/>
    </row>
    <row r="27" spans="1:15" ht="12" customHeight="1" x14ac:dyDescent="0.25">
      <c r="A27" s="58" t="s">
        <v>27</v>
      </c>
      <c r="B27" s="68" t="s">
        <v>273</v>
      </c>
      <c r="C27" s="57">
        <v>2513</v>
      </c>
      <c r="D27" s="57">
        <v>5101</v>
      </c>
      <c r="E27" s="57">
        <v>7856</v>
      </c>
      <c r="F27" s="57">
        <v>10694</v>
      </c>
      <c r="G27" s="57">
        <v>13829</v>
      </c>
      <c r="H27" s="57">
        <v>17633</v>
      </c>
      <c r="I27" s="57">
        <v>20992</v>
      </c>
      <c r="J27" s="57">
        <v>24406</v>
      </c>
      <c r="K27" s="57">
        <v>27382</v>
      </c>
      <c r="L27" s="57">
        <v>31157</v>
      </c>
      <c r="M27" s="57">
        <v>34698</v>
      </c>
      <c r="N27" s="57">
        <v>37724</v>
      </c>
      <c r="O27" s="50"/>
    </row>
    <row r="28" spans="1:15" ht="12" customHeight="1" x14ac:dyDescent="0.25">
      <c r="A28" s="58" t="s">
        <v>27</v>
      </c>
      <c r="B28" s="68" t="s">
        <v>288</v>
      </c>
      <c r="C28" s="57">
        <v>3982</v>
      </c>
      <c r="D28" s="57">
        <v>7589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/>
    </row>
    <row r="29" spans="1:15" ht="12" customHeight="1" x14ac:dyDescent="0.25">
      <c r="A29" s="54" t="s">
        <v>10</v>
      </c>
      <c r="B29" s="68" t="s">
        <v>254</v>
      </c>
      <c r="C29" s="57">
        <v>14798</v>
      </c>
      <c r="D29" s="57">
        <v>32163</v>
      </c>
      <c r="E29" s="57">
        <v>57473</v>
      </c>
      <c r="F29" s="57">
        <v>84408</v>
      </c>
      <c r="G29" s="57">
        <v>110438</v>
      </c>
      <c r="H29" s="57">
        <v>123848</v>
      </c>
      <c r="I29" s="57">
        <v>149957</v>
      </c>
      <c r="J29" s="57">
        <v>176707</v>
      </c>
      <c r="K29" s="57">
        <v>198944</v>
      </c>
      <c r="L29" s="57">
        <v>221401</v>
      </c>
      <c r="M29" s="57">
        <v>241498</v>
      </c>
      <c r="N29" s="57">
        <v>261172</v>
      </c>
      <c r="O29" s="50"/>
    </row>
    <row r="30" spans="1:15" ht="12" customHeight="1" x14ac:dyDescent="0.25">
      <c r="A30" s="54" t="s">
        <v>10</v>
      </c>
      <c r="B30" s="68" t="s">
        <v>273</v>
      </c>
      <c r="C30" s="57">
        <v>14282</v>
      </c>
      <c r="D30" s="57">
        <v>29058</v>
      </c>
      <c r="E30" s="57">
        <v>51886</v>
      </c>
      <c r="F30" s="57">
        <v>72271</v>
      </c>
      <c r="G30" s="57">
        <v>96756</v>
      </c>
      <c r="H30" s="57">
        <v>124078</v>
      </c>
      <c r="I30" s="57">
        <v>146106</v>
      </c>
      <c r="J30" s="57">
        <v>170124</v>
      </c>
      <c r="K30" s="57">
        <v>195811</v>
      </c>
      <c r="L30" s="57">
        <v>219626</v>
      </c>
      <c r="M30" s="57">
        <v>241208</v>
      </c>
      <c r="N30" s="57">
        <v>263116</v>
      </c>
      <c r="O30" s="50"/>
    </row>
    <row r="31" spans="1:15" ht="12" customHeight="1" x14ac:dyDescent="0.25">
      <c r="A31" s="54" t="s">
        <v>10</v>
      </c>
      <c r="B31" s="68" t="s">
        <v>288</v>
      </c>
      <c r="C31" s="57">
        <v>16055</v>
      </c>
      <c r="D31" s="57">
        <v>33771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0"/>
    </row>
    <row r="32" spans="1:15" ht="12" customHeight="1" x14ac:dyDescent="0.25">
      <c r="A32" s="54" t="s">
        <v>6</v>
      </c>
      <c r="B32" s="68" t="s">
        <v>254</v>
      </c>
      <c r="C32" s="57">
        <v>2186344</v>
      </c>
      <c r="D32" s="57">
        <v>3673786</v>
      </c>
      <c r="E32" s="57">
        <v>5538146</v>
      </c>
      <c r="F32" s="57">
        <v>6503266</v>
      </c>
      <c r="G32" s="57">
        <v>8126145</v>
      </c>
      <c r="H32" s="57">
        <v>10347749</v>
      </c>
      <c r="I32" s="57">
        <v>12522074</v>
      </c>
      <c r="J32" s="57">
        <v>14647334</v>
      </c>
      <c r="K32" s="57">
        <v>16979103</v>
      </c>
      <c r="L32" s="57">
        <v>19210300</v>
      </c>
      <c r="M32" s="57">
        <v>21285116</v>
      </c>
      <c r="N32" s="57">
        <v>23563287</v>
      </c>
      <c r="O32" s="50"/>
    </row>
    <row r="33" spans="1:20" ht="12" customHeight="1" x14ac:dyDescent="0.25">
      <c r="A33" s="54" t="s">
        <v>6</v>
      </c>
      <c r="B33" s="68" t="s">
        <v>273</v>
      </c>
      <c r="C33" s="57">
        <v>1468597</v>
      </c>
      <c r="D33" s="57">
        <v>3121261</v>
      </c>
      <c r="E33" s="57">
        <v>5138203</v>
      </c>
      <c r="F33" s="57">
        <v>6949282</v>
      </c>
      <c r="G33" s="57">
        <v>9000405</v>
      </c>
      <c r="H33" s="57">
        <v>11268226</v>
      </c>
      <c r="I33" s="57">
        <v>13368076</v>
      </c>
      <c r="J33" s="57">
        <v>15640859</v>
      </c>
      <c r="K33" s="57">
        <v>18128133</v>
      </c>
      <c r="L33" s="57">
        <v>20616006</v>
      </c>
      <c r="M33" s="57">
        <v>23220376</v>
      </c>
      <c r="N33" s="57">
        <v>26062824</v>
      </c>
      <c r="O33" s="50"/>
    </row>
    <row r="34" spans="1:20" ht="12" customHeight="1" x14ac:dyDescent="0.25">
      <c r="A34" s="54" t="s">
        <v>6</v>
      </c>
      <c r="B34" s="68" t="s">
        <v>288</v>
      </c>
      <c r="C34" s="57">
        <v>2115435</v>
      </c>
      <c r="D34" s="57">
        <v>3448250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0"/>
    </row>
    <row r="35" spans="1:20" ht="12" customHeight="1" x14ac:dyDescent="0.25">
      <c r="A35" s="54" t="s">
        <v>50</v>
      </c>
      <c r="B35" s="68" t="s">
        <v>254</v>
      </c>
      <c r="C35" s="57">
        <v>16263</v>
      </c>
      <c r="D35" s="57">
        <v>30488</v>
      </c>
      <c r="E35" s="57">
        <v>47391</v>
      </c>
      <c r="F35" s="57">
        <v>62105</v>
      </c>
      <c r="G35" s="57">
        <v>80178</v>
      </c>
      <c r="H35" s="57">
        <v>98916</v>
      </c>
      <c r="I35" s="57">
        <v>112364</v>
      </c>
      <c r="J35" s="57">
        <v>128945</v>
      </c>
      <c r="K35" s="57">
        <v>143843</v>
      </c>
      <c r="L35" s="57">
        <v>160126</v>
      </c>
      <c r="M35" s="57">
        <v>177534</v>
      </c>
      <c r="N35" s="57">
        <v>192087</v>
      </c>
      <c r="O35" s="50"/>
    </row>
    <row r="36" spans="1:20" ht="12" customHeight="1" x14ac:dyDescent="0.25">
      <c r="A36" s="54" t="s">
        <v>50</v>
      </c>
      <c r="B36" s="68" t="s">
        <v>273</v>
      </c>
      <c r="C36" s="57">
        <v>17137</v>
      </c>
      <c r="D36" s="57">
        <v>33963</v>
      </c>
      <c r="E36" s="57">
        <v>56341</v>
      </c>
      <c r="F36" s="57">
        <v>74770</v>
      </c>
      <c r="G36" s="57">
        <v>95068</v>
      </c>
      <c r="H36" s="57">
        <v>115548</v>
      </c>
      <c r="I36" s="57">
        <v>132899</v>
      </c>
      <c r="J36" s="57">
        <v>150356</v>
      </c>
      <c r="K36" s="57">
        <v>167564</v>
      </c>
      <c r="L36" s="57">
        <v>186886</v>
      </c>
      <c r="M36" s="57">
        <v>206297</v>
      </c>
      <c r="N36" s="57">
        <v>221422</v>
      </c>
      <c r="O36" s="50"/>
      <c r="T36" s="2"/>
    </row>
    <row r="37" spans="1:20" ht="12" customHeight="1" x14ac:dyDescent="0.25">
      <c r="A37" s="54" t="s">
        <v>50</v>
      </c>
      <c r="B37" s="68" t="s">
        <v>288</v>
      </c>
      <c r="C37" s="57">
        <v>20361</v>
      </c>
      <c r="D37" s="57">
        <v>38689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0"/>
      <c r="T37" s="2"/>
    </row>
    <row r="38" spans="1:20" ht="12" customHeight="1" x14ac:dyDescent="0.25">
      <c r="A38" s="54" t="s">
        <v>43</v>
      </c>
      <c r="B38" s="68" t="s">
        <v>254</v>
      </c>
      <c r="C38" s="57">
        <v>25245</v>
      </c>
      <c r="D38" s="57">
        <v>49900</v>
      </c>
      <c r="E38" s="57">
        <v>88298</v>
      </c>
      <c r="F38" s="57">
        <v>115475</v>
      </c>
      <c r="G38" s="57">
        <v>148450</v>
      </c>
      <c r="H38" s="57">
        <v>185496</v>
      </c>
      <c r="I38" s="57">
        <v>208115</v>
      </c>
      <c r="J38" s="57">
        <v>240340</v>
      </c>
      <c r="K38" s="57">
        <v>274790</v>
      </c>
      <c r="L38" s="57">
        <v>304394</v>
      </c>
      <c r="M38" s="57">
        <v>343420</v>
      </c>
      <c r="N38" s="57">
        <v>404322</v>
      </c>
      <c r="O38" s="50"/>
      <c r="T38" s="2"/>
    </row>
    <row r="39" spans="1:20" ht="12" customHeight="1" x14ac:dyDescent="0.25">
      <c r="A39" s="54" t="s">
        <v>43</v>
      </c>
      <c r="B39" s="68" t="s">
        <v>273</v>
      </c>
      <c r="C39" s="57">
        <v>19483</v>
      </c>
      <c r="D39" s="57">
        <v>44588</v>
      </c>
      <c r="E39" s="57">
        <v>89636</v>
      </c>
      <c r="F39" s="57">
        <v>117982</v>
      </c>
      <c r="G39" s="57">
        <v>173821</v>
      </c>
      <c r="H39" s="57">
        <v>236334</v>
      </c>
      <c r="I39" s="57">
        <v>261487</v>
      </c>
      <c r="J39" s="57">
        <v>293900</v>
      </c>
      <c r="K39" s="57">
        <v>326674</v>
      </c>
      <c r="L39" s="57">
        <v>355262</v>
      </c>
      <c r="M39" s="57">
        <v>388635</v>
      </c>
      <c r="N39" s="57">
        <v>425802</v>
      </c>
      <c r="O39" s="50"/>
      <c r="T39" s="2"/>
    </row>
    <row r="40" spans="1:20" ht="12" customHeight="1" x14ac:dyDescent="0.25">
      <c r="A40" s="54" t="s">
        <v>43</v>
      </c>
      <c r="B40" s="68" t="s">
        <v>288</v>
      </c>
      <c r="C40" s="57">
        <v>20559</v>
      </c>
      <c r="D40" s="57">
        <v>44544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0"/>
      <c r="T40" s="2"/>
    </row>
    <row r="41" spans="1:20" ht="12" customHeight="1" x14ac:dyDescent="0.25">
      <c r="A41" s="54" t="s">
        <v>18</v>
      </c>
      <c r="B41" s="68" t="s">
        <v>254</v>
      </c>
      <c r="C41" s="57">
        <v>102906</v>
      </c>
      <c r="D41" s="57">
        <v>218309</v>
      </c>
      <c r="E41" s="57">
        <v>365407</v>
      </c>
      <c r="F41" s="57">
        <v>474140</v>
      </c>
      <c r="G41" s="57">
        <v>600959</v>
      </c>
      <c r="H41" s="57">
        <v>772071</v>
      </c>
      <c r="I41" s="57">
        <v>879622</v>
      </c>
      <c r="J41" s="57">
        <v>971033</v>
      </c>
      <c r="K41" s="57">
        <v>1112188</v>
      </c>
      <c r="L41" s="57">
        <v>1237186</v>
      </c>
      <c r="M41" s="57">
        <v>1371156</v>
      </c>
      <c r="N41" s="57">
        <v>1529183</v>
      </c>
      <c r="O41" s="50"/>
      <c r="T41" s="2"/>
    </row>
    <row r="42" spans="1:20" ht="12" customHeight="1" x14ac:dyDescent="0.25">
      <c r="A42" s="54" t="s">
        <v>18</v>
      </c>
      <c r="B42" s="68" t="s">
        <v>273</v>
      </c>
      <c r="C42" s="57">
        <v>111976</v>
      </c>
      <c r="D42" s="57">
        <v>238175</v>
      </c>
      <c r="E42" s="57">
        <v>420904</v>
      </c>
      <c r="F42" s="57">
        <v>553414</v>
      </c>
      <c r="G42" s="57">
        <v>698952</v>
      </c>
      <c r="H42" s="57">
        <v>889806</v>
      </c>
      <c r="I42" s="57">
        <v>1048528</v>
      </c>
      <c r="J42" s="57">
        <v>1132321</v>
      </c>
      <c r="K42" s="57">
        <v>1288624</v>
      </c>
      <c r="L42" s="57">
        <v>1441045</v>
      </c>
      <c r="M42" s="57">
        <v>1593762</v>
      </c>
      <c r="N42" s="57">
        <v>1774772</v>
      </c>
      <c r="O42" s="50"/>
      <c r="T42" s="2"/>
    </row>
    <row r="43" spans="1:20" ht="12" customHeight="1" x14ac:dyDescent="0.25">
      <c r="A43" s="54" t="s">
        <v>18</v>
      </c>
      <c r="B43" s="68" t="s">
        <v>288</v>
      </c>
      <c r="C43" s="57">
        <v>122290</v>
      </c>
      <c r="D43" s="57">
        <v>264892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0"/>
      <c r="T43" s="2"/>
    </row>
    <row r="44" spans="1:20" ht="12" customHeight="1" x14ac:dyDescent="0.25">
      <c r="A44" s="54" t="s">
        <v>15</v>
      </c>
      <c r="B44" s="68" t="s">
        <v>254</v>
      </c>
      <c r="C44" s="57">
        <v>184112</v>
      </c>
      <c r="D44" s="57">
        <v>384624</v>
      </c>
      <c r="E44" s="57">
        <v>625954</v>
      </c>
      <c r="F44" s="57">
        <v>806218</v>
      </c>
      <c r="G44" s="57">
        <v>1013417</v>
      </c>
      <c r="H44" s="57">
        <v>1237975</v>
      </c>
      <c r="I44" s="57">
        <v>1443886</v>
      </c>
      <c r="J44" s="57">
        <v>1643069</v>
      </c>
      <c r="K44" s="57">
        <v>1867885</v>
      </c>
      <c r="L44" s="57">
        <v>2076527</v>
      </c>
      <c r="M44" s="57">
        <v>2337039</v>
      </c>
      <c r="N44" s="57">
        <v>2651357</v>
      </c>
      <c r="O44" s="50"/>
      <c r="P44" s="2" t="s">
        <v>0</v>
      </c>
      <c r="Q44" s="2" t="s">
        <v>0</v>
      </c>
      <c r="R44" s="2" t="s">
        <v>0</v>
      </c>
      <c r="S44" s="2"/>
      <c r="T44" s="2"/>
    </row>
    <row r="45" spans="1:20" ht="12" customHeight="1" x14ac:dyDescent="0.25">
      <c r="A45" s="54" t="s">
        <v>15</v>
      </c>
      <c r="B45" s="68" t="s">
        <v>273</v>
      </c>
      <c r="C45" s="57">
        <v>179247</v>
      </c>
      <c r="D45" s="57">
        <v>385457</v>
      </c>
      <c r="E45" s="57">
        <v>666818</v>
      </c>
      <c r="F45" s="57">
        <v>869765</v>
      </c>
      <c r="G45" s="57">
        <v>1116731</v>
      </c>
      <c r="H45" s="57">
        <v>1396870</v>
      </c>
      <c r="I45" s="57">
        <v>1640147</v>
      </c>
      <c r="J45" s="57">
        <v>1913564</v>
      </c>
      <c r="K45" s="57">
        <v>2138066</v>
      </c>
      <c r="L45" s="57">
        <v>2357025</v>
      </c>
      <c r="M45" s="57">
        <v>2602726</v>
      </c>
      <c r="N45" s="57">
        <v>2844609</v>
      </c>
      <c r="O45" s="50"/>
      <c r="P45" s="2" t="s">
        <v>0</v>
      </c>
      <c r="Q45" s="2"/>
      <c r="S45" s="2"/>
      <c r="T45" s="2"/>
    </row>
    <row r="46" spans="1:20" ht="12" customHeight="1" x14ac:dyDescent="0.25">
      <c r="A46" s="54" t="s">
        <v>15</v>
      </c>
      <c r="B46" s="68" t="s">
        <v>288</v>
      </c>
      <c r="C46" s="57">
        <v>213553</v>
      </c>
      <c r="D46" s="57">
        <v>430941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0"/>
      <c r="P46" s="2"/>
      <c r="Q46" s="2"/>
      <c r="S46" s="2"/>
      <c r="T46" s="2"/>
    </row>
    <row r="47" spans="1:20" ht="12" customHeight="1" x14ac:dyDescent="0.25">
      <c r="A47" s="54" t="s">
        <v>44</v>
      </c>
      <c r="B47" s="68" t="s">
        <v>254</v>
      </c>
      <c r="C47" s="57">
        <v>5521</v>
      </c>
      <c r="D47" s="57">
        <v>14072</v>
      </c>
      <c r="E47" s="57">
        <v>22427</v>
      </c>
      <c r="F47" s="57">
        <v>31716</v>
      </c>
      <c r="G47" s="57">
        <v>43707</v>
      </c>
      <c r="H47" s="57">
        <v>54798</v>
      </c>
      <c r="I47" s="57">
        <v>65672</v>
      </c>
      <c r="J47" s="57">
        <v>74330</v>
      </c>
      <c r="K47" s="57">
        <v>82936</v>
      </c>
      <c r="L47" s="57">
        <v>90726</v>
      </c>
      <c r="M47" s="57">
        <v>98797</v>
      </c>
      <c r="N47" s="57">
        <v>105283</v>
      </c>
      <c r="O47" s="50"/>
      <c r="P47" s="2" t="s">
        <v>0</v>
      </c>
      <c r="Q47" s="2"/>
      <c r="S47" s="2"/>
      <c r="T47" s="2"/>
    </row>
    <row r="48" spans="1:20" ht="12" customHeight="1" x14ac:dyDescent="0.25">
      <c r="A48" s="54" t="s">
        <v>44</v>
      </c>
      <c r="B48" s="68" t="s">
        <v>273</v>
      </c>
      <c r="C48" s="57">
        <v>10532</v>
      </c>
      <c r="D48" s="57">
        <v>20488</v>
      </c>
      <c r="E48" s="57">
        <v>33772</v>
      </c>
      <c r="F48" s="57">
        <v>44011</v>
      </c>
      <c r="G48" s="57">
        <v>56968</v>
      </c>
      <c r="H48" s="57">
        <v>70362</v>
      </c>
      <c r="I48" s="57">
        <v>82742</v>
      </c>
      <c r="J48" s="57">
        <v>93110</v>
      </c>
      <c r="K48" s="57">
        <v>104510</v>
      </c>
      <c r="L48" s="57">
        <v>115792</v>
      </c>
      <c r="M48" s="57">
        <v>126244</v>
      </c>
      <c r="N48" s="57">
        <v>134484</v>
      </c>
      <c r="O48" s="50"/>
      <c r="P48" s="2" t="s">
        <v>0</v>
      </c>
      <c r="Q48" s="2"/>
      <c r="T48" s="2"/>
    </row>
    <row r="49" spans="1:22" ht="12" customHeight="1" x14ac:dyDescent="0.25">
      <c r="A49" s="54" t="s">
        <v>44</v>
      </c>
      <c r="B49" s="68" t="s">
        <v>288</v>
      </c>
      <c r="C49" s="57">
        <v>12752</v>
      </c>
      <c r="D49" s="57">
        <v>24213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0"/>
      <c r="P49" s="2"/>
      <c r="Q49" s="2"/>
      <c r="T49" s="2"/>
    </row>
    <row r="50" spans="1:22" ht="12" customHeight="1" x14ac:dyDescent="0.25">
      <c r="A50" s="54" t="s">
        <v>22</v>
      </c>
      <c r="B50" s="68" t="s">
        <v>254</v>
      </c>
      <c r="C50" s="57">
        <v>8088</v>
      </c>
      <c r="D50" s="57">
        <v>17537</v>
      </c>
      <c r="E50" s="57">
        <v>28690</v>
      </c>
      <c r="F50" s="57">
        <v>37780</v>
      </c>
      <c r="G50" s="57">
        <v>47919</v>
      </c>
      <c r="H50" s="57">
        <v>57411</v>
      </c>
      <c r="I50" s="57">
        <v>66411</v>
      </c>
      <c r="J50" s="57">
        <v>76349</v>
      </c>
      <c r="K50" s="57">
        <v>85768</v>
      </c>
      <c r="L50" s="57">
        <v>94027</v>
      </c>
      <c r="M50" s="57">
        <v>103524</v>
      </c>
      <c r="N50" s="57">
        <v>111525</v>
      </c>
      <c r="O50" s="50"/>
      <c r="P50" s="2" t="s">
        <v>0</v>
      </c>
      <c r="Q50" s="2"/>
      <c r="T50" s="2"/>
    </row>
    <row r="51" spans="1:22" ht="12" customHeight="1" x14ac:dyDescent="0.25">
      <c r="A51" s="54" t="s">
        <v>22</v>
      </c>
      <c r="B51" s="68" t="s">
        <v>273</v>
      </c>
      <c r="C51" s="57">
        <v>8314</v>
      </c>
      <c r="D51" s="57">
        <v>18062</v>
      </c>
      <c r="E51" s="57">
        <v>29560</v>
      </c>
      <c r="F51" s="57">
        <v>38109</v>
      </c>
      <c r="G51" s="57">
        <v>47107</v>
      </c>
      <c r="H51" s="57">
        <v>56467</v>
      </c>
      <c r="I51" s="57">
        <v>65467</v>
      </c>
      <c r="J51" s="57">
        <v>73858</v>
      </c>
      <c r="K51" s="57">
        <v>83009</v>
      </c>
      <c r="L51" s="57">
        <v>91413</v>
      </c>
      <c r="M51" s="57">
        <v>99743</v>
      </c>
      <c r="N51" s="57">
        <v>107720</v>
      </c>
      <c r="O51" s="50"/>
      <c r="P51" s="2" t="s">
        <v>0</v>
      </c>
      <c r="Q51" s="2"/>
      <c r="T51" s="2"/>
      <c r="V51" s="3" t="s">
        <v>0</v>
      </c>
    </row>
    <row r="52" spans="1:22" ht="12" customHeight="1" x14ac:dyDescent="0.25">
      <c r="A52" s="54" t="s">
        <v>22</v>
      </c>
      <c r="B52" s="68" t="s">
        <v>288</v>
      </c>
      <c r="C52" s="57">
        <v>8040</v>
      </c>
      <c r="D52" s="57">
        <v>18775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0"/>
      <c r="P52" s="2"/>
      <c r="Q52" s="2"/>
      <c r="T52" s="2"/>
      <c r="V52" s="3"/>
    </row>
    <row r="53" spans="1:22" ht="12" customHeight="1" x14ac:dyDescent="0.25">
      <c r="A53" s="54" t="s">
        <v>9</v>
      </c>
      <c r="B53" s="68" t="s">
        <v>254</v>
      </c>
      <c r="C53" s="57">
        <v>254287</v>
      </c>
      <c r="D53" s="57">
        <v>517271</v>
      </c>
      <c r="E53" s="57">
        <v>796772</v>
      </c>
      <c r="F53" s="57">
        <v>1048353</v>
      </c>
      <c r="G53" s="57">
        <v>1299405</v>
      </c>
      <c r="H53" s="57">
        <v>1621939</v>
      </c>
      <c r="I53" s="57">
        <v>1915804</v>
      </c>
      <c r="J53" s="57">
        <v>2197014</v>
      </c>
      <c r="K53" s="57">
        <v>2504403</v>
      </c>
      <c r="L53" s="57">
        <v>2795516</v>
      </c>
      <c r="M53" s="57">
        <v>3071747</v>
      </c>
      <c r="N53" s="57">
        <v>3345842</v>
      </c>
      <c r="O53" s="50"/>
      <c r="P53" s="2" t="s">
        <v>0</v>
      </c>
      <c r="Q53" s="2" t="s">
        <v>0</v>
      </c>
    </row>
    <row r="54" spans="1:22" ht="12" customHeight="1" x14ac:dyDescent="0.25">
      <c r="A54" s="54" t="s">
        <v>9</v>
      </c>
      <c r="B54" s="68" t="s">
        <v>273</v>
      </c>
      <c r="C54" s="57">
        <v>298093</v>
      </c>
      <c r="D54" s="57">
        <v>590021</v>
      </c>
      <c r="E54" s="57">
        <v>927179</v>
      </c>
      <c r="F54" s="57">
        <v>1211550</v>
      </c>
      <c r="G54" s="57">
        <v>1499919</v>
      </c>
      <c r="H54" s="57">
        <v>1827184</v>
      </c>
      <c r="I54" s="57">
        <v>2129705</v>
      </c>
      <c r="J54" s="57">
        <v>2443420</v>
      </c>
      <c r="K54" s="57">
        <v>2808229</v>
      </c>
      <c r="L54" s="57">
        <v>3149576</v>
      </c>
      <c r="M54" s="57">
        <v>3437638</v>
      </c>
      <c r="N54" s="57">
        <v>3719606</v>
      </c>
      <c r="O54" s="50"/>
      <c r="Q54" s="2"/>
    </row>
    <row r="55" spans="1:22" ht="12" customHeight="1" x14ac:dyDescent="0.25">
      <c r="A55" s="54" t="s">
        <v>9</v>
      </c>
      <c r="B55" s="68" t="s">
        <v>288</v>
      </c>
      <c r="C55" s="57">
        <v>339441</v>
      </c>
      <c r="D55" s="57">
        <v>658960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0"/>
      <c r="Q55" s="2"/>
    </row>
    <row r="56" spans="1:22" ht="12" customHeight="1" x14ac:dyDescent="0.25">
      <c r="A56" s="54" t="s">
        <v>45</v>
      </c>
      <c r="B56" s="68" t="s">
        <v>254</v>
      </c>
      <c r="C56" s="57">
        <v>25093</v>
      </c>
      <c r="D56" s="57">
        <v>37058</v>
      </c>
      <c r="E56" s="57">
        <v>49928</v>
      </c>
      <c r="F56" s="57">
        <v>57765</v>
      </c>
      <c r="G56" s="57">
        <v>63045</v>
      </c>
      <c r="H56" s="57">
        <v>65176</v>
      </c>
      <c r="I56" s="57">
        <v>87075</v>
      </c>
      <c r="J56" s="57">
        <v>95183</v>
      </c>
      <c r="K56" s="57">
        <v>101492</v>
      </c>
      <c r="L56" s="57">
        <v>104056</v>
      </c>
      <c r="M56" s="57">
        <v>105039</v>
      </c>
      <c r="N56" s="57">
        <v>105248</v>
      </c>
      <c r="O56" s="50"/>
      <c r="Q56" s="2" t="s">
        <v>0</v>
      </c>
    </row>
    <row r="57" spans="1:22" ht="12" customHeight="1" x14ac:dyDescent="0.25">
      <c r="A57" s="54" t="s">
        <v>45</v>
      </c>
      <c r="B57" s="68" t="s">
        <v>273</v>
      </c>
      <c r="C57" s="57">
        <v>27363</v>
      </c>
      <c r="D57" s="57">
        <v>40435</v>
      </c>
      <c r="E57" s="57">
        <v>58116</v>
      </c>
      <c r="F57" s="57">
        <v>67018</v>
      </c>
      <c r="G57" s="57">
        <v>74542</v>
      </c>
      <c r="H57" s="57">
        <v>77687</v>
      </c>
      <c r="I57" s="57">
        <v>104641</v>
      </c>
      <c r="J57" s="57">
        <v>112729</v>
      </c>
      <c r="K57" s="57">
        <v>118354</v>
      </c>
      <c r="L57" s="57">
        <v>120491</v>
      </c>
      <c r="M57" s="57">
        <v>122424</v>
      </c>
      <c r="N57" s="57">
        <v>122850</v>
      </c>
      <c r="O57" s="50"/>
      <c r="Q57" s="2"/>
    </row>
    <row r="58" spans="1:22" ht="12" customHeight="1" x14ac:dyDescent="0.25">
      <c r="A58" s="54" t="s">
        <v>45</v>
      </c>
      <c r="B58" s="68" t="s">
        <v>288</v>
      </c>
      <c r="C58" s="57">
        <v>31425</v>
      </c>
      <c r="D58" s="57">
        <v>47877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0"/>
      <c r="Q58" s="2"/>
    </row>
    <row r="59" spans="1:22" ht="12" customHeight="1" x14ac:dyDescent="0.25">
      <c r="A59" s="54" t="s">
        <v>16</v>
      </c>
      <c r="B59" s="68" t="s">
        <v>254</v>
      </c>
      <c r="C59" s="57">
        <v>107814</v>
      </c>
      <c r="D59" s="57">
        <v>218716</v>
      </c>
      <c r="E59" s="57">
        <v>338258</v>
      </c>
      <c r="F59" s="57">
        <v>435647</v>
      </c>
      <c r="G59" s="57">
        <v>556974</v>
      </c>
      <c r="H59" s="57">
        <v>684228</v>
      </c>
      <c r="I59" s="57">
        <v>793856</v>
      </c>
      <c r="J59" s="57">
        <v>865044</v>
      </c>
      <c r="K59" s="57">
        <v>976055</v>
      </c>
      <c r="L59" s="57">
        <v>1091894</v>
      </c>
      <c r="M59" s="57">
        <v>1211769</v>
      </c>
      <c r="N59" s="57">
        <v>1316684</v>
      </c>
      <c r="O59" s="50"/>
      <c r="Q59" s="2" t="s">
        <v>0</v>
      </c>
    </row>
    <row r="60" spans="1:22" ht="12" customHeight="1" x14ac:dyDescent="0.25">
      <c r="A60" s="54" t="s">
        <v>16</v>
      </c>
      <c r="B60" s="68" t="s">
        <v>273</v>
      </c>
      <c r="C60" s="57">
        <v>128437</v>
      </c>
      <c r="D60" s="57">
        <v>258724</v>
      </c>
      <c r="E60" s="57">
        <v>427067</v>
      </c>
      <c r="F60" s="57">
        <v>552850</v>
      </c>
      <c r="G60" s="57">
        <v>702339</v>
      </c>
      <c r="H60" s="57">
        <v>840750</v>
      </c>
      <c r="I60" s="57">
        <v>976488</v>
      </c>
      <c r="J60" s="57">
        <v>1040560</v>
      </c>
      <c r="K60" s="57">
        <v>1176003</v>
      </c>
      <c r="L60" s="57">
        <v>1315033</v>
      </c>
      <c r="M60" s="57">
        <v>1454261</v>
      </c>
      <c r="N60" s="57">
        <v>1566448</v>
      </c>
      <c r="O60" s="50"/>
      <c r="Q60" s="2"/>
    </row>
    <row r="61" spans="1:22" ht="12" customHeight="1" x14ac:dyDescent="0.25">
      <c r="A61" s="54" t="s">
        <v>16</v>
      </c>
      <c r="B61" s="68" t="s">
        <v>288</v>
      </c>
      <c r="C61" s="57">
        <v>141893</v>
      </c>
      <c r="D61" s="57">
        <v>288948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0"/>
      <c r="Q61" s="2"/>
    </row>
    <row r="62" spans="1:22" ht="12" customHeight="1" x14ac:dyDescent="0.25">
      <c r="A62" s="54" t="s">
        <v>4</v>
      </c>
      <c r="B62" s="68" t="s">
        <v>254</v>
      </c>
      <c r="C62" s="57">
        <v>272445</v>
      </c>
      <c r="D62" s="57">
        <v>562293</v>
      </c>
      <c r="E62" s="57">
        <v>988686</v>
      </c>
      <c r="F62" s="57">
        <v>1232978</v>
      </c>
      <c r="G62" s="57">
        <v>1444834</v>
      </c>
      <c r="H62" s="57">
        <v>1712911</v>
      </c>
      <c r="I62" s="57">
        <v>2001056</v>
      </c>
      <c r="J62" s="57">
        <v>2235199</v>
      </c>
      <c r="K62" s="57">
        <v>2560100</v>
      </c>
      <c r="L62" s="57">
        <v>2855909</v>
      </c>
      <c r="M62" s="57">
        <v>3163968</v>
      </c>
      <c r="N62" s="57">
        <v>3448298</v>
      </c>
      <c r="O62" s="50"/>
      <c r="Q62" s="2"/>
    </row>
    <row r="63" spans="1:22" ht="12" customHeight="1" x14ac:dyDescent="0.25">
      <c r="A63" s="54" t="s">
        <v>4</v>
      </c>
      <c r="B63" s="68" t="s">
        <v>273</v>
      </c>
      <c r="C63" s="57">
        <v>319870</v>
      </c>
      <c r="D63" s="57">
        <v>676151</v>
      </c>
      <c r="E63" s="57">
        <v>1154094</v>
      </c>
      <c r="F63" s="57">
        <v>1443619</v>
      </c>
      <c r="G63" s="57">
        <v>1715661</v>
      </c>
      <c r="H63" s="57">
        <v>2047694</v>
      </c>
      <c r="I63" s="57">
        <v>2368691</v>
      </c>
      <c r="J63" s="57">
        <v>2649228</v>
      </c>
      <c r="K63" s="57">
        <v>3012627</v>
      </c>
      <c r="L63" s="57">
        <v>3347112</v>
      </c>
      <c r="M63" s="57">
        <v>3691157</v>
      </c>
      <c r="N63" s="57">
        <v>3992728</v>
      </c>
      <c r="O63" s="50"/>
      <c r="Q63" s="2"/>
    </row>
    <row r="64" spans="1:22" ht="12" customHeight="1" x14ac:dyDescent="0.25">
      <c r="A64" s="54" t="s">
        <v>4</v>
      </c>
      <c r="B64" s="68" t="s">
        <v>288</v>
      </c>
      <c r="C64" s="57">
        <v>285429</v>
      </c>
      <c r="D64" s="57">
        <v>583924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0"/>
      <c r="Q64" s="2"/>
    </row>
    <row r="65" spans="1:20" ht="12" customHeight="1" x14ac:dyDescent="0.25">
      <c r="A65" s="54" t="s">
        <v>7</v>
      </c>
      <c r="B65" s="68" t="s">
        <v>254</v>
      </c>
      <c r="C65" s="57">
        <v>92539</v>
      </c>
      <c r="D65" s="57">
        <v>193381</v>
      </c>
      <c r="E65" s="57">
        <v>312034</v>
      </c>
      <c r="F65" s="57">
        <v>432931</v>
      </c>
      <c r="G65" s="57">
        <v>552738</v>
      </c>
      <c r="H65" s="57">
        <v>676506</v>
      </c>
      <c r="I65" s="57">
        <v>795314</v>
      </c>
      <c r="J65" s="57">
        <v>902123</v>
      </c>
      <c r="K65" s="57">
        <v>1016854</v>
      </c>
      <c r="L65" s="57">
        <v>1136676</v>
      </c>
      <c r="M65" s="57">
        <v>1269884</v>
      </c>
      <c r="N65" s="57">
        <v>1409553</v>
      </c>
      <c r="O65" s="50"/>
      <c r="Q65" s="2"/>
    </row>
    <row r="66" spans="1:20" ht="12" customHeight="1" x14ac:dyDescent="0.25">
      <c r="A66" s="54" t="s">
        <v>7</v>
      </c>
      <c r="B66" s="68" t="s">
        <v>273</v>
      </c>
      <c r="C66" s="57">
        <v>101134</v>
      </c>
      <c r="D66" s="57">
        <v>221277</v>
      </c>
      <c r="E66" s="57">
        <v>359785</v>
      </c>
      <c r="F66" s="57">
        <v>487038</v>
      </c>
      <c r="G66" s="57">
        <v>617179</v>
      </c>
      <c r="H66" s="57">
        <v>756713</v>
      </c>
      <c r="I66" s="57">
        <v>870588</v>
      </c>
      <c r="J66" s="57">
        <v>983311</v>
      </c>
      <c r="K66" s="57">
        <v>1095016</v>
      </c>
      <c r="L66" s="57">
        <v>1211900</v>
      </c>
      <c r="M66" s="57">
        <v>1345886</v>
      </c>
      <c r="N66" s="57">
        <v>1470524</v>
      </c>
      <c r="O66" s="50"/>
      <c r="Q66" s="2"/>
    </row>
    <row r="67" spans="1:20" ht="12" customHeight="1" x14ac:dyDescent="0.25">
      <c r="A67" s="54" t="s">
        <v>7</v>
      </c>
      <c r="B67" s="68" t="s">
        <v>288</v>
      </c>
      <c r="C67" s="57">
        <v>101696</v>
      </c>
      <c r="D67" s="57">
        <v>201778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0"/>
      <c r="Q67" s="2"/>
    </row>
    <row r="68" spans="1:20" ht="12" customHeight="1" x14ac:dyDescent="0.25">
      <c r="A68" s="54" t="s">
        <v>11</v>
      </c>
      <c r="B68" s="68" t="s">
        <v>254</v>
      </c>
      <c r="C68" s="57">
        <v>37277</v>
      </c>
      <c r="D68" s="57">
        <v>74133</v>
      </c>
      <c r="E68" s="57">
        <v>117876</v>
      </c>
      <c r="F68" s="57">
        <v>158398</v>
      </c>
      <c r="G68" s="57">
        <v>201757</v>
      </c>
      <c r="H68" s="57">
        <v>243148</v>
      </c>
      <c r="I68" s="57">
        <v>279400</v>
      </c>
      <c r="J68" s="57">
        <v>320835</v>
      </c>
      <c r="K68" s="57">
        <v>358794</v>
      </c>
      <c r="L68" s="57">
        <v>395745</v>
      </c>
      <c r="M68" s="57">
        <v>436342</v>
      </c>
      <c r="N68" s="57">
        <v>486993</v>
      </c>
      <c r="O68" s="50"/>
      <c r="Q68" s="2" t="s">
        <v>0</v>
      </c>
    </row>
    <row r="69" spans="1:20" ht="12" customHeight="1" x14ac:dyDescent="0.25">
      <c r="A69" s="54" t="s">
        <v>11</v>
      </c>
      <c r="B69" s="68" t="s">
        <v>273</v>
      </c>
      <c r="C69" s="57">
        <v>40728</v>
      </c>
      <c r="D69" s="57">
        <v>89020</v>
      </c>
      <c r="E69" s="57">
        <v>144161</v>
      </c>
      <c r="F69" s="57">
        <v>184050</v>
      </c>
      <c r="G69" s="57">
        <v>230524</v>
      </c>
      <c r="H69" s="57">
        <v>279415</v>
      </c>
      <c r="I69" s="57">
        <v>327037</v>
      </c>
      <c r="J69" s="57">
        <v>377806</v>
      </c>
      <c r="K69" s="57">
        <v>428275</v>
      </c>
      <c r="L69" s="57">
        <v>477130</v>
      </c>
      <c r="M69" s="57">
        <v>534951</v>
      </c>
      <c r="N69" s="57">
        <v>598091</v>
      </c>
      <c r="O69" s="50"/>
      <c r="Q69" s="2"/>
    </row>
    <row r="70" spans="1:20" ht="12" customHeight="1" x14ac:dyDescent="0.25">
      <c r="A70" s="54" t="s">
        <v>11</v>
      </c>
      <c r="B70" s="68" t="s">
        <v>288</v>
      </c>
      <c r="C70" s="57">
        <v>47976</v>
      </c>
      <c r="D70" s="57">
        <v>96071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0"/>
      <c r="Q70" s="2"/>
    </row>
    <row r="71" spans="1:20" ht="12" customHeight="1" x14ac:dyDescent="0.25">
      <c r="A71" s="54" t="s">
        <v>46</v>
      </c>
      <c r="B71" s="68" t="s">
        <v>254</v>
      </c>
      <c r="C71" s="57">
        <v>30984</v>
      </c>
      <c r="D71" s="57">
        <v>53724</v>
      </c>
      <c r="E71" s="57">
        <v>78539</v>
      </c>
      <c r="F71" s="57">
        <v>100457</v>
      </c>
      <c r="G71" s="57">
        <v>123811</v>
      </c>
      <c r="H71" s="57">
        <v>153708</v>
      </c>
      <c r="I71" s="57">
        <v>175775</v>
      </c>
      <c r="J71" s="57">
        <v>199297</v>
      </c>
      <c r="K71" s="57">
        <v>224944</v>
      </c>
      <c r="L71" s="57">
        <v>253764</v>
      </c>
      <c r="M71" s="57">
        <v>281583</v>
      </c>
      <c r="N71" s="57">
        <v>312483</v>
      </c>
      <c r="O71" s="50"/>
      <c r="P71" s="2" t="s">
        <v>0</v>
      </c>
      <c r="Q71" s="2"/>
    </row>
    <row r="72" spans="1:20" ht="12" customHeight="1" x14ac:dyDescent="0.25">
      <c r="A72" s="54" t="s">
        <v>46</v>
      </c>
      <c r="B72" s="68" t="s">
        <v>273</v>
      </c>
      <c r="C72" s="57">
        <v>32845</v>
      </c>
      <c r="D72" s="57">
        <v>60973</v>
      </c>
      <c r="E72" s="57">
        <v>98425</v>
      </c>
      <c r="F72" s="57">
        <v>127597</v>
      </c>
      <c r="G72" s="57">
        <v>160617</v>
      </c>
      <c r="H72" s="57">
        <v>202595</v>
      </c>
      <c r="I72" s="57">
        <v>235111</v>
      </c>
      <c r="J72" s="57">
        <v>257059</v>
      </c>
      <c r="K72" s="57">
        <v>286961</v>
      </c>
      <c r="L72" s="57">
        <v>315013</v>
      </c>
      <c r="M72" s="57">
        <v>343221</v>
      </c>
      <c r="N72" s="57">
        <v>369791</v>
      </c>
      <c r="O72" s="50"/>
      <c r="P72" s="2" t="s">
        <v>0</v>
      </c>
      <c r="Q72" s="2" t="s">
        <v>0</v>
      </c>
      <c r="T72" s="2"/>
    </row>
    <row r="73" spans="1:20" ht="12" customHeight="1" x14ac:dyDescent="0.25">
      <c r="A73" s="54" t="s">
        <v>46</v>
      </c>
      <c r="B73" s="68" t="s">
        <v>288</v>
      </c>
      <c r="C73" s="57">
        <v>34777</v>
      </c>
      <c r="D73" s="57">
        <v>64810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0"/>
      <c r="P73" s="2"/>
      <c r="Q73" s="2"/>
      <c r="T73" s="2"/>
    </row>
    <row r="74" spans="1:20" ht="12" customHeight="1" x14ac:dyDescent="0.25">
      <c r="A74" s="54" t="s">
        <v>21</v>
      </c>
      <c r="B74" s="68" t="s">
        <v>254</v>
      </c>
      <c r="C74" s="57">
        <v>28975</v>
      </c>
      <c r="D74" s="57">
        <v>62513</v>
      </c>
      <c r="E74" s="57">
        <v>102041</v>
      </c>
      <c r="F74" s="57">
        <v>136923</v>
      </c>
      <c r="G74" s="57">
        <v>172820</v>
      </c>
      <c r="H74" s="57">
        <v>212417</v>
      </c>
      <c r="I74" s="57">
        <v>247119</v>
      </c>
      <c r="J74" s="57">
        <v>280877</v>
      </c>
      <c r="K74" s="57">
        <v>316680</v>
      </c>
      <c r="L74" s="57">
        <v>348681</v>
      </c>
      <c r="M74" s="57">
        <v>382877</v>
      </c>
      <c r="N74" s="57">
        <v>419749</v>
      </c>
      <c r="O74" s="50"/>
      <c r="P74" s="2" t="s">
        <v>0</v>
      </c>
      <c r="Q74" s="2"/>
      <c r="S74" s="2" t="s">
        <v>0</v>
      </c>
      <c r="T74" s="2"/>
    </row>
    <row r="75" spans="1:20" ht="12" customHeight="1" x14ac:dyDescent="0.25">
      <c r="A75" s="54" t="s">
        <v>21</v>
      </c>
      <c r="B75" s="68" t="s">
        <v>273</v>
      </c>
      <c r="C75" s="57">
        <v>35047</v>
      </c>
      <c r="D75" s="57">
        <v>73571</v>
      </c>
      <c r="E75" s="57">
        <v>123032</v>
      </c>
      <c r="F75" s="57">
        <v>158516</v>
      </c>
      <c r="G75" s="57">
        <v>197092</v>
      </c>
      <c r="H75" s="57">
        <v>238673</v>
      </c>
      <c r="I75" s="57">
        <v>275061</v>
      </c>
      <c r="J75" s="57">
        <v>311239</v>
      </c>
      <c r="K75" s="57">
        <v>350317</v>
      </c>
      <c r="L75" s="57">
        <v>391231</v>
      </c>
      <c r="M75" s="57">
        <v>432917</v>
      </c>
      <c r="N75" s="57">
        <v>475034</v>
      </c>
      <c r="O75" s="50"/>
      <c r="P75" s="2" t="s">
        <v>0</v>
      </c>
      <c r="Q75" s="2"/>
      <c r="S75" s="2"/>
      <c r="T75" s="2"/>
    </row>
    <row r="76" spans="1:20" ht="12" customHeight="1" x14ac:dyDescent="0.25">
      <c r="A76" s="54" t="s">
        <v>21</v>
      </c>
      <c r="B76" s="68" t="s">
        <v>288</v>
      </c>
      <c r="C76" s="57">
        <v>42789</v>
      </c>
      <c r="D76" s="57">
        <v>88767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0"/>
      <c r="P76" s="2"/>
      <c r="Q76" s="2"/>
      <c r="S76" s="2"/>
      <c r="T76" s="2"/>
    </row>
    <row r="77" spans="1:20" ht="12" customHeight="1" x14ac:dyDescent="0.25">
      <c r="A77" s="54" t="s">
        <v>47</v>
      </c>
      <c r="B77" s="68" t="s">
        <v>254</v>
      </c>
      <c r="C77" s="57">
        <v>9829</v>
      </c>
      <c r="D77" s="57">
        <v>21400</v>
      </c>
      <c r="E77" s="57">
        <v>34771</v>
      </c>
      <c r="F77" s="57">
        <v>47191</v>
      </c>
      <c r="G77" s="57">
        <v>59939</v>
      </c>
      <c r="H77" s="57">
        <v>75449</v>
      </c>
      <c r="I77" s="57">
        <v>89944</v>
      </c>
      <c r="J77" s="57">
        <v>101293</v>
      </c>
      <c r="K77" s="57">
        <v>113764</v>
      </c>
      <c r="L77" s="57">
        <v>126322</v>
      </c>
      <c r="M77" s="57">
        <v>141556</v>
      </c>
      <c r="N77" s="57">
        <v>156308</v>
      </c>
      <c r="O77" s="50"/>
      <c r="P77" s="2" t="s">
        <v>0</v>
      </c>
      <c r="Q77" s="2" t="s">
        <v>0</v>
      </c>
      <c r="R77" s="2" t="s">
        <v>0</v>
      </c>
      <c r="S77" s="2"/>
      <c r="T77" s="2"/>
    </row>
    <row r="78" spans="1:20" ht="12" customHeight="1" x14ac:dyDescent="0.25">
      <c r="A78" s="54" t="s">
        <v>47</v>
      </c>
      <c r="B78" s="68" t="s">
        <v>273</v>
      </c>
      <c r="C78" s="57">
        <v>14639</v>
      </c>
      <c r="D78" s="57">
        <v>30719</v>
      </c>
      <c r="E78" s="57">
        <v>52191</v>
      </c>
      <c r="F78" s="57">
        <v>68298</v>
      </c>
      <c r="G78" s="57">
        <v>88114</v>
      </c>
      <c r="H78" s="57">
        <v>110155</v>
      </c>
      <c r="I78" s="57">
        <v>128388</v>
      </c>
      <c r="J78" s="57">
        <v>139279</v>
      </c>
      <c r="K78" s="57">
        <v>153356</v>
      </c>
      <c r="L78" s="57">
        <v>167219</v>
      </c>
      <c r="M78" s="57">
        <v>182988</v>
      </c>
      <c r="N78" s="57">
        <v>199623</v>
      </c>
      <c r="O78" s="50"/>
      <c r="P78" s="2"/>
      <c r="S78" s="2"/>
      <c r="T78" s="2"/>
    </row>
    <row r="79" spans="1:20" ht="12" customHeight="1" x14ac:dyDescent="0.25">
      <c r="A79" s="54" t="s">
        <v>47</v>
      </c>
      <c r="B79" s="68" t="s">
        <v>288</v>
      </c>
      <c r="C79" s="57">
        <v>15737</v>
      </c>
      <c r="D79" s="57">
        <v>36248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0"/>
      <c r="P79" s="2"/>
      <c r="S79" s="2"/>
      <c r="T79" s="2"/>
    </row>
    <row r="80" spans="1:20" ht="12" customHeight="1" x14ac:dyDescent="0.25">
      <c r="A80" s="54" t="s">
        <v>26</v>
      </c>
      <c r="B80" s="68" t="s">
        <v>254</v>
      </c>
      <c r="C80" s="57">
        <v>9337</v>
      </c>
      <c r="D80" s="57">
        <v>17953</v>
      </c>
      <c r="E80" s="57">
        <v>28978</v>
      </c>
      <c r="F80" s="57">
        <v>37447</v>
      </c>
      <c r="G80" s="57">
        <v>47645</v>
      </c>
      <c r="H80" s="57">
        <v>58712</v>
      </c>
      <c r="I80" s="57">
        <v>70028</v>
      </c>
      <c r="J80" s="57">
        <v>83349</v>
      </c>
      <c r="K80" s="57">
        <v>95276</v>
      </c>
      <c r="L80" s="57">
        <v>105817</v>
      </c>
      <c r="M80" s="57">
        <v>116891</v>
      </c>
      <c r="N80" s="57">
        <v>129328</v>
      </c>
      <c r="O80" s="50"/>
      <c r="P80" s="2"/>
      <c r="S80" s="2"/>
      <c r="T80" s="2"/>
    </row>
    <row r="81" spans="1:20" ht="12" customHeight="1" x14ac:dyDescent="0.25">
      <c r="A81" s="54" t="s">
        <v>26</v>
      </c>
      <c r="B81" s="68" t="s">
        <v>273</v>
      </c>
      <c r="C81" s="57">
        <v>12134</v>
      </c>
      <c r="D81" s="57">
        <v>24715</v>
      </c>
      <c r="E81" s="57">
        <v>36966</v>
      </c>
      <c r="F81" s="57">
        <v>46831</v>
      </c>
      <c r="G81" s="57">
        <v>60472</v>
      </c>
      <c r="H81" s="57">
        <v>72787</v>
      </c>
      <c r="I81" s="57">
        <v>86218</v>
      </c>
      <c r="J81" s="57">
        <v>98968</v>
      </c>
      <c r="K81" s="57">
        <v>110711</v>
      </c>
      <c r="L81" s="57">
        <v>122104</v>
      </c>
      <c r="M81" s="57">
        <v>131602</v>
      </c>
      <c r="N81" s="57">
        <v>144611</v>
      </c>
      <c r="O81" s="50"/>
      <c r="P81" s="2"/>
      <c r="S81" s="2"/>
      <c r="T81" s="2"/>
    </row>
    <row r="82" spans="1:20" ht="12" customHeight="1" x14ac:dyDescent="0.25">
      <c r="A82" s="54" t="s">
        <v>26</v>
      </c>
      <c r="B82" s="68" t="s">
        <v>288</v>
      </c>
      <c r="C82" s="57">
        <v>12733</v>
      </c>
      <c r="D82" s="57">
        <v>24218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0"/>
      <c r="P82" s="2"/>
      <c r="S82" s="2"/>
      <c r="T82" s="2"/>
    </row>
    <row r="83" spans="1:20" ht="12" customHeight="1" x14ac:dyDescent="0.25">
      <c r="A83" s="54" t="s">
        <v>238</v>
      </c>
      <c r="B83" s="68" t="s">
        <v>254</v>
      </c>
      <c r="C83" s="57">
        <v>91662</v>
      </c>
      <c r="D83" s="57">
        <v>206011</v>
      </c>
      <c r="E83" s="57">
        <v>261140</v>
      </c>
      <c r="F83" s="57">
        <v>293846</v>
      </c>
      <c r="G83" s="57">
        <v>334306</v>
      </c>
      <c r="H83" s="57">
        <v>370228</v>
      </c>
      <c r="I83" s="57">
        <v>407173</v>
      </c>
      <c r="J83" s="57">
        <v>428455</v>
      </c>
      <c r="K83" s="57">
        <v>475153</v>
      </c>
      <c r="L83" s="57">
        <v>520381</v>
      </c>
      <c r="M83" s="57">
        <v>566784</v>
      </c>
      <c r="N83" s="57">
        <v>630856</v>
      </c>
      <c r="O83" s="50"/>
      <c r="P83" s="2"/>
      <c r="S83" s="2"/>
      <c r="T83" s="2"/>
    </row>
    <row r="84" spans="1:20" ht="12" customHeight="1" x14ac:dyDescent="0.25">
      <c r="A84" s="54" t="s">
        <v>238</v>
      </c>
      <c r="B84" s="68" t="s">
        <v>273</v>
      </c>
      <c r="C84" s="57">
        <v>52499</v>
      </c>
      <c r="D84" s="57">
        <v>114350</v>
      </c>
      <c r="E84" s="57">
        <v>182764</v>
      </c>
      <c r="F84" s="57">
        <v>257034</v>
      </c>
      <c r="G84" s="57">
        <v>328500</v>
      </c>
      <c r="H84" s="57">
        <v>400779</v>
      </c>
      <c r="I84" s="57">
        <v>473611</v>
      </c>
      <c r="J84" s="57">
        <v>552943</v>
      </c>
      <c r="K84" s="57">
        <v>628678</v>
      </c>
      <c r="L84" s="57">
        <v>703939</v>
      </c>
      <c r="M84" s="57">
        <v>779200</v>
      </c>
      <c r="N84" s="57">
        <v>855122</v>
      </c>
      <c r="O84" s="50"/>
      <c r="P84" s="2" t="s">
        <v>0</v>
      </c>
      <c r="S84" s="2"/>
      <c r="T84" s="2"/>
    </row>
    <row r="85" spans="1:20" ht="12" customHeight="1" x14ac:dyDescent="0.25">
      <c r="A85" s="54" t="s">
        <v>238</v>
      </c>
      <c r="B85" s="68" t="s">
        <v>288</v>
      </c>
      <c r="C85" s="57">
        <v>38561</v>
      </c>
      <c r="D85" s="57">
        <v>192322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0"/>
      <c r="P85" s="2"/>
      <c r="S85" s="2"/>
      <c r="T85" s="2"/>
    </row>
    <row r="86" spans="1:20" ht="12" customHeight="1" x14ac:dyDescent="0.25">
      <c r="A86" s="54" t="s">
        <v>23</v>
      </c>
      <c r="B86" s="68" t="s">
        <v>254</v>
      </c>
      <c r="C86" s="57">
        <v>5739</v>
      </c>
      <c r="D86" s="57">
        <v>11745</v>
      </c>
      <c r="E86" s="57">
        <v>19221</v>
      </c>
      <c r="F86" s="57">
        <v>25279</v>
      </c>
      <c r="G86" s="57">
        <v>31929</v>
      </c>
      <c r="H86" s="57">
        <v>39953</v>
      </c>
      <c r="I86" s="57">
        <v>46174</v>
      </c>
      <c r="J86" s="57">
        <v>52869</v>
      </c>
      <c r="K86" s="57">
        <v>58106</v>
      </c>
      <c r="L86" s="57">
        <v>65834</v>
      </c>
      <c r="M86" s="57">
        <v>72810</v>
      </c>
      <c r="N86" s="57">
        <v>79259</v>
      </c>
      <c r="O86" s="50"/>
      <c r="P86" s="2" t="s">
        <v>0</v>
      </c>
      <c r="Q86" s="2" t="s">
        <v>0</v>
      </c>
      <c r="S86" s="2"/>
      <c r="T86" s="2"/>
    </row>
    <row r="87" spans="1:20" ht="12" customHeight="1" x14ac:dyDescent="0.25">
      <c r="A87" s="54" t="s">
        <v>23</v>
      </c>
      <c r="B87" s="68" t="s">
        <v>273</v>
      </c>
      <c r="C87" s="57">
        <v>6680</v>
      </c>
      <c r="D87" s="57">
        <v>13303</v>
      </c>
      <c r="E87" s="57">
        <v>22155</v>
      </c>
      <c r="F87" s="57">
        <v>29047</v>
      </c>
      <c r="G87" s="57">
        <v>37086</v>
      </c>
      <c r="H87" s="57">
        <v>45457</v>
      </c>
      <c r="I87" s="57">
        <v>54307</v>
      </c>
      <c r="J87" s="57">
        <v>60945</v>
      </c>
      <c r="K87" s="57">
        <v>67804</v>
      </c>
      <c r="L87" s="57">
        <v>75611</v>
      </c>
      <c r="M87" s="57">
        <v>82675</v>
      </c>
      <c r="N87" s="57">
        <v>88003</v>
      </c>
      <c r="O87" s="50"/>
      <c r="P87" s="2" t="s">
        <v>0</v>
      </c>
      <c r="Q87" s="2" t="s">
        <v>0</v>
      </c>
      <c r="S87" s="2" t="s">
        <v>0</v>
      </c>
      <c r="T87" s="2"/>
    </row>
    <row r="88" spans="1:20" ht="12" customHeight="1" x14ac:dyDescent="0.25">
      <c r="A88" s="54" t="s">
        <v>23</v>
      </c>
      <c r="B88" s="68" t="s">
        <v>288</v>
      </c>
      <c r="C88" s="57">
        <v>7935</v>
      </c>
      <c r="D88" s="57">
        <v>15637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0"/>
      <c r="P88" s="2"/>
      <c r="Q88" s="2"/>
      <c r="S88" s="2"/>
      <c r="T88" s="2"/>
    </row>
    <row r="89" spans="1:20" ht="12" customHeight="1" x14ac:dyDescent="0.25">
      <c r="A89" s="54" t="s">
        <v>24</v>
      </c>
      <c r="B89" s="68" t="s">
        <v>254</v>
      </c>
      <c r="C89" s="57">
        <v>4320</v>
      </c>
      <c r="D89" s="57">
        <v>8125</v>
      </c>
      <c r="E89" s="57">
        <v>12752</v>
      </c>
      <c r="F89" s="57">
        <v>16670</v>
      </c>
      <c r="G89" s="57">
        <v>21454</v>
      </c>
      <c r="H89" s="57">
        <v>25847</v>
      </c>
      <c r="I89" s="57">
        <v>29847</v>
      </c>
      <c r="J89" s="57">
        <v>32982</v>
      </c>
      <c r="K89" s="57">
        <v>36758</v>
      </c>
      <c r="L89" s="57">
        <v>40191</v>
      </c>
      <c r="M89" s="57">
        <v>43814</v>
      </c>
      <c r="N89" s="57">
        <v>46339</v>
      </c>
      <c r="O89" s="50"/>
      <c r="P89" s="2" t="s">
        <v>12</v>
      </c>
      <c r="Q89" s="2"/>
      <c r="T89" s="2"/>
    </row>
    <row r="90" spans="1:20" ht="12" customHeight="1" x14ac:dyDescent="0.25">
      <c r="A90" s="54" t="s">
        <v>24</v>
      </c>
      <c r="B90" s="68" t="s">
        <v>273</v>
      </c>
      <c r="C90" s="57">
        <v>4425</v>
      </c>
      <c r="D90" s="57">
        <v>8195</v>
      </c>
      <c r="E90" s="57">
        <v>13450</v>
      </c>
      <c r="F90" s="57">
        <v>17788</v>
      </c>
      <c r="G90" s="57">
        <v>22641</v>
      </c>
      <c r="H90" s="57">
        <v>27310</v>
      </c>
      <c r="I90" s="57">
        <v>31310</v>
      </c>
      <c r="J90" s="57">
        <v>34326</v>
      </c>
      <c r="K90" s="57">
        <v>38377</v>
      </c>
      <c r="L90" s="57">
        <v>42258</v>
      </c>
      <c r="M90" s="57">
        <v>46118</v>
      </c>
      <c r="N90" s="57">
        <v>48809</v>
      </c>
      <c r="O90" s="50"/>
      <c r="P90" s="2" t="s">
        <v>0</v>
      </c>
      <c r="Q90" s="2"/>
      <c r="T90" s="2"/>
    </row>
    <row r="91" spans="1:20" ht="12" customHeight="1" x14ac:dyDescent="0.25">
      <c r="A91" s="54" t="s">
        <v>24</v>
      </c>
      <c r="B91" s="68" t="s">
        <v>288</v>
      </c>
      <c r="C91" s="57">
        <v>4543</v>
      </c>
      <c r="D91" s="57">
        <v>8721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0"/>
      <c r="P91" s="2"/>
      <c r="Q91" s="2"/>
      <c r="T91" s="2"/>
    </row>
    <row r="92" spans="1:20" ht="12" customHeight="1" x14ac:dyDescent="0.25">
      <c r="A92" s="54" t="s">
        <v>19</v>
      </c>
      <c r="B92" s="68" t="s">
        <v>254</v>
      </c>
      <c r="C92" s="57">
        <v>42377</v>
      </c>
      <c r="D92" s="57">
        <v>104480</v>
      </c>
      <c r="E92" s="57">
        <v>164399</v>
      </c>
      <c r="F92" s="57">
        <v>233509</v>
      </c>
      <c r="G92" s="57">
        <v>318488</v>
      </c>
      <c r="H92" s="57">
        <v>407757</v>
      </c>
      <c r="I92" s="57">
        <v>481135</v>
      </c>
      <c r="J92" s="57">
        <v>533042</v>
      </c>
      <c r="K92" s="57">
        <v>600281</v>
      </c>
      <c r="L92" s="57">
        <v>666247</v>
      </c>
      <c r="M92" s="57">
        <v>739469</v>
      </c>
      <c r="N92" s="57">
        <v>813396</v>
      </c>
      <c r="O92" s="50"/>
      <c r="P92" s="2" t="s">
        <v>0</v>
      </c>
      <c r="Q92" s="2"/>
      <c r="T92" s="2"/>
    </row>
    <row r="93" spans="1:20" ht="12" customHeight="1" x14ac:dyDescent="0.25">
      <c r="A93" s="54" t="s">
        <v>19</v>
      </c>
      <c r="B93" s="68" t="s">
        <v>273</v>
      </c>
      <c r="C93" s="57">
        <v>64147</v>
      </c>
      <c r="D93" s="57">
        <v>138039</v>
      </c>
      <c r="E93" s="57">
        <v>237563</v>
      </c>
      <c r="F93" s="57">
        <v>312314</v>
      </c>
      <c r="G93" s="57">
        <v>404337</v>
      </c>
      <c r="H93" s="57">
        <v>505421</v>
      </c>
      <c r="I93" s="57">
        <v>586626</v>
      </c>
      <c r="J93" s="57">
        <v>642470</v>
      </c>
      <c r="K93" s="57">
        <v>711270</v>
      </c>
      <c r="L93" s="57">
        <v>789162</v>
      </c>
      <c r="M93" s="57">
        <v>868236</v>
      </c>
      <c r="N93" s="57">
        <v>949249</v>
      </c>
      <c r="O93" s="50"/>
      <c r="P93" s="2" t="s">
        <v>0</v>
      </c>
      <c r="Q93" s="2"/>
      <c r="T93" s="2"/>
    </row>
    <row r="94" spans="1:20" ht="12" customHeight="1" x14ac:dyDescent="0.25">
      <c r="A94" s="54" t="s">
        <v>19</v>
      </c>
      <c r="B94" s="68" t="s">
        <v>288</v>
      </c>
      <c r="C94" s="57">
        <v>68685</v>
      </c>
      <c r="D94" s="57">
        <v>150033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0"/>
      <c r="P94" s="2"/>
      <c r="Q94" s="2"/>
      <c r="T94" s="2"/>
    </row>
    <row r="95" spans="1:20" ht="12" customHeight="1" x14ac:dyDescent="0.25">
      <c r="A95" s="54" t="s">
        <v>48</v>
      </c>
      <c r="B95" s="68" t="s">
        <v>254</v>
      </c>
      <c r="C95" s="57">
        <v>19893</v>
      </c>
      <c r="D95" s="57">
        <v>41029</v>
      </c>
      <c r="E95" s="57">
        <v>69739</v>
      </c>
      <c r="F95" s="57">
        <v>91681</v>
      </c>
      <c r="G95" s="57">
        <v>118094</v>
      </c>
      <c r="H95" s="57">
        <v>144182</v>
      </c>
      <c r="I95" s="57">
        <v>162016</v>
      </c>
      <c r="J95" s="57">
        <v>182592</v>
      </c>
      <c r="K95" s="57">
        <v>204640</v>
      </c>
      <c r="L95" s="57">
        <v>227023</v>
      </c>
      <c r="M95" s="57">
        <v>252611</v>
      </c>
      <c r="N95" s="57">
        <v>288087</v>
      </c>
      <c r="O95" s="50"/>
      <c r="P95" s="2" t="s">
        <v>0</v>
      </c>
      <c r="Q95" s="2" t="s">
        <v>0</v>
      </c>
      <c r="T95" s="2"/>
    </row>
    <row r="96" spans="1:20" ht="12" customHeight="1" x14ac:dyDescent="0.25">
      <c r="A96" s="54" t="s">
        <v>48</v>
      </c>
      <c r="B96" s="68" t="s">
        <v>273</v>
      </c>
      <c r="C96" s="57">
        <v>14597</v>
      </c>
      <c r="D96" s="57">
        <v>33043</v>
      </c>
      <c r="E96" s="57">
        <v>63304</v>
      </c>
      <c r="F96" s="57">
        <v>83890</v>
      </c>
      <c r="G96" s="57">
        <v>112380</v>
      </c>
      <c r="H96" s="57">
        <v>140663</v>
      </c>
      <c r="I96" s="57">
        <v>157963</v>
      </c>
      <c r="J96" s="57">
        <v>181834</v>
      </c>
      <c r="K96" s="57">
        <v>209969</v>
      </c>
      <c r="L96" s="57">
        <v>234985</v>
      </c>
      <c r="M96" s="57">
        <v>260391</v>
      </c>
      <c r="N96" s="57">
        <v>289665</v>
      </c>
      <c r="O96" s="50"/>
      <c r="P96" s="2" t="s">
        <v>0</v>
      </c>
      <c r="Q96" s="2"/>
      <c r="T96" s="2"/>
    </row>
    <row r="97" spans="1:20" ht="12" customHeight="1" x14ac:dyDescent="0.25">
      <c r="A97" s="54" t="s">
        <v>48</v>
      </c>
      <c r="B97" s="68" t="s">
        <v>288</v>
      </c>
      <c r="C97" s="57">
        <v>17164</v>
      </c>
      <c r="D97" s="57">
        <v>35930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0"/>
      <c r="P97" s="2"/>
      <c r="Q97" s="2"/>
      <c r="T97" s="2"/>
    </row>
    <row r="98" spans="1:20" ht="12" customHeight="1" x14ac:dyDescent="0.25">
      <c r="A98" s="54" t="s">
        <v>49</v>
      </c>
      <c r="B98" s="68" t="s">
        <v>254</v>
      </c>
      <c r="C98" s="57">
        <v>15899</v>
      </c>
      <c r="D98" s="57">
        <v>32505</v>
      </c>
      <c r="E98" s="57">
        <v>54227</v>
      </c>
      <c r="F98" s="57">
        <v>69873</v>
      </c>
      <c r="G98" s="57">
        <v>88323</v>
      </c>
      <c r="H98" s="57">
        <v>109599</v>
      </c>
      <c r="I98" s="57">
        <v>125253</v>
      </c>
      <c r="J98" s="57">
        <v>141658</v>
      </c>
      <c r="K98" s="57">
        <v>162606</v>
      </c>
      <c r="L98" s="57">
        <v>179791</v>
      </c>
      <c r="M98" s="57">
        <v>201197</v>
      </c>
      <c r="N98" s="57">
        <v>225934</v>
      </c>
      <c r="O98" s="50"/>
      <c r="P98" s="2" t="s">
        <v>0</v>
      </c>
      <c r="Q98" s="2" t="s">
        <v>0</v>
      </c>
      <c r="T98" s="2"/>
    </row>
    <row r="99" spans="1:20" ht="12" customHeight="1" x14ac:dyDescent="0.25">
      <c r="A99" s="54" t="s">
        <v>49</v>
      </c>
      <c r="B99" s="68" t="s">
        <v>273</v>
      </c>
      <c r="C99" s="57">
        <v>16437</v>
      </c>
      <c r="D99" s="57">
        <v>33635</v>
      </c>
      <c r="E99" s="57">
        <v>58802</v>
      </c>
      <c r="F99" s="57">
        <v>76941</v>
      </c>
      <c r="G99" s="57">
        <v>98538</v>
      </c>
      <c r="H99" s="57">
        <v>123752</v>
      </c>
      <c r="I99" s="57">
        <v>142474</v>
      </c>
      <c r="J99" s="57">
        <v>161328</v>
      </c>
      <c r="K99" s="57">
        <v>182906</v>
      </c>
      <c r="L99" s="57">
        <v>203261</v>
      </c>
      <c r="M99" s="57">
        <v>225266</v>
      </c>
      <c r="N99" s="57">
        <v>252214</v>
      </c>
      <c r="O99" s="50"/>
      <c r="P99" s="2" t="s">
        <v>0</v>
      </c>
      <c r="Q99" s="2"/>
      <c r="T99" s="2"/>
    </row>
    <row r="100" spans="1:20" ht="12" customHeight="1" x14ac:dyDescent="0.25">
      <c r="A100" s="54" t="s">
        <v>49</v>
      </c>
      <c r="B100" s="68" t="s">
        <v>288</v>
      </c>
      <c r="C100" s="57">
        <v>15236</v>
      </c>
      <c r="D100" s="57">
        <v>33757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0"/>
      <c r="P100" s="2"/>
      <c r="Q100" s="2"/>
      <c r="T100" s="2"/>
    </row>
    <row r="101" spans="1:20" ht="12" customHeight="1" x14ac:dyDescent="0.25">
      <c r="A101" s="54" t="s">
        <v>1</v>
      </c>
      <c r="B101" s="68" t="s">
        <v>254</v>
      </c>
      <c r="C101" s="57">
        <v>29020</v>
      </c>
      <c r="D101" s="57">
        <v>66661</v>
      </c>
      <c r="E101" s="57">
        <v>116834</v>
      </c>
      <c r="F101" s="57">
        <v>162398</v>
      </c>
      <c r="G101" s="57">
        <v>214148</v>
      </c>
      <c r="H101" s="57">
        <v>278282</v>
      </c>
      <c r="I101" s="57">
        <v>319313</v>
      </c>
      <c r="J101" s="57">
        <v>354543</v>
      </c>
      <c r="K101" s="57">
        <v>399224</v>
      </c>
      <c r="L101" s="57">
        <v>446664</v>
      </c>
      <c r="M101" s="57">
        <v>505886</v>
      </c>
      <c r="N101" s="57">
        <v>592660</v>
      </c>
      <c r="O101" s="50"/>
      <c r="P101" s="2" t="s">
        <v>0</v>
      </c>
      <c r="Q101" s="2" t="s">
        <v>0</v>
      </c>
      <c r="S101" s="2"/>
      <c r="T101" s="2"/>
    </row>
    <row r="102" spans="1:20" ht="12" customHeight="1" x14ac:dyDescent="0.25">
      <c r="A102" s="54" t="s">
        <v>1</v>
      </c>
      <c r="B102" s="68" t="s">
        <v>273</v>
      </c>
      <c r="C102" s="57">
        <v>37288</v>
      </c>
      <c r="D102" s="57">
        <v>96195</v>
      </c>
      <c r="E102" s="57">
        <v>175421</v>
      </c>
      <c r="F102" s="57">
        <v>252819</v>
      </c>
      <c r="G102" s="57">
        <v>340037</v>
      </c>
      <c r="H102" s="57">
        <v>429870</v>
      </c>
      <c r="I102" s="57">
        <v>515786</v>
      </c>
      <c r="J102" s="57">
        <v>581917</v>
      </c>
      <c r="K102" s="57">
        <v>660888</v>
      </c>
      <c r="L102" s="57">
        <v>743499</v>
      </c>
      <c r="M102" s="57">
        <v>834923</v>
      </c>
      <c r="N102" s="57">
        <v>961339</v>
      </c>
      <c r="O102" s="50"/>
      <c r="P102" s="2" t="s">
        <v>0</v>
      </c>
      <c r="Q102" s="2"/>
      <c r="R102" s="3" t="s">
        <v>0</v>
      </c>
      <c r="S102" s="2"/>
      <c r="T102" s="2"/>
    </row>
    <row r="103" spans="1:20" ht="12" customHeight="1" x14ac:dyDescent="0.25">
      <c r="A103" s="54" t="s">
        <v>1</v>
      </c>
      <c r="B103" s="68" t="s">
        <v>288</v>
      </c>
      <c r="C103" s="57">
        <v>64041</v>
      </c>
      <c r="D103" s="57">
        <v>146318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0"/>
      <c r="P103" s="2"/>
      <c r="Q103" s="2"/>
      <c r="R103" s="3"/>
      <c r="S103" s="2"/>
      <c r="T103" s="2"/>
    </row>
    <row r="104" spans="1:20" ht="12" customHeight="1" x14ac:dyDescent="0.25">
      <c r="A104" s="54" t="s">
        <v>17</v>
      </c>
      <c r="B104" s="68" t="s">
        <v>254</v>
      </c>
      <c r="C104" s="57">
        <v>115087</v>
      </c>
      <c r="D104" s="57">
        <v>174081</v>
      </c>
      <c r="E104" s="57">
        <v>417560</v>
      </c>
      <c r="F104" s="57">
        <v>536727</v>
      </c>
      <c r="G104" s="57">
        <v>661121</v>
      </c>
      <c r="H104" s="57">
        <v>802079</v>
      </c>
      <c r="I104" s="57">
        <v>914241</v>
      </c>
      <c r="J104" s="57">
        <v>983099</v>
      </c>
      <c r="K104" s="57">
        <v>1208368</v>
      </c>
      <c r="L104" s="57">
        <v>1342712</v>
      </c>
      <c r="M104" s="57">
        <v>1485601</v>
      </c>
      <c r="N104" s="57">
        <v>1614063</v>
      </c>
      <c r="O104" s="50"/>
      <c r="P104" s="2" t="s">
        <v>0</v>
      </c>
      <c r="Q104" s="2" t="s">
        <v>0</v>
      </c>
      <c r="T104" s="2"/>
    </row>
    <row r="105" spans="1:20" ht="12" customHeight="1" x14ac:dyDescent="0.25">
      <c r="A105" s="54" t="s">
        <v>17</v>
      </c>
      <c r="B105" s="68" t="s">
        <v>273</v>
      </c>
      <c r="C105" s="57">
        <v>131994</v>
      </c>
      <c r="D105" s="57">
        <v>206435</v>
      </c>
      <c r="E105" s="57">
        <v>494260</v>
      </c>
      <c r="F105" s="57">
        <v>627250</v>
      </c>
      <c r="G105" s="57">
        <v>772454</v>
      </c>
      <c r="H105" s="57">
        <v>949720</v>
      </c>
      <c r="I105" s="57">
        <v>1120631</v>
      </c>
      <c r="J105" s="57">
        <v>1179298</v>
      </c>
      <c r="K105" s="57">
        <v>1451908</v>
      </c>
      <c r="L105" s="57">
        <v>1605437</v>
      </c>
      <c r="M105" s="57">
        <v>1761962</v>
      </c>
      <c r="N105" s="57">
        <v>1903054</v>
      </c>
      <c r="O105" s="50"/>
      <c r="P105" s="2" t="s">
        <v>0</v>
      </c>
      <c r="Q105" s="2" t="s">
        <v>0</v>
      </c>
      <c r="R105" s="2" t="s">
        <v>0</v>
      </c>
      <c r="S105" s="2"/>
      <c r="T105" s="2"/>
    </row>
    <row r="106" spans="1:20" ht="12" customHeight="1" x14ac:dyDescent="0.25">
      <c r="A106" s="54" t="s">
        <v>17</v>
      </c>
      <c r="B106" s="68" t="s">
        <v>288</v>
      </c>
      <c r="C106" s="57">
        <v>142876</v>
      </c>
      <c r="D106" s="57">
        <v>227762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0"/>
      <c r="P106" s="2"/>
      <c r="Q106" s="2"/>
      <c r="R106" s="2"/>
      <c r="S106" s="2"/>
      <c r="T106" s="2"/>
    </row>
    <row r="107" spans="1:20" ht="12" customHeight="1" x14ac:dyDescent="0.25">
      <c r="A107" s="54" t="s">
        <v>3</v>
      </c>
      <c r="B107" s="68" t="s">
        <v>254</v>
      </c>
      <c r="C107" s="57">
        <v>5323</v>
      </c>
      <c r="D107" s="57">
        <v>5323</v>
      </c>
      <c r="E107" s="57">
        <v>11194</v>
      </c>
      <c r="F107" s="57">
        <v>11194</v>
      </c>
      <c r="G107" s="57">
        <v>14926</v>
      </c>
      <c r="H107" s="57">
        <v>17828</v>
      </c>
      <c r="I107" s="57">
        <v>21475</v>
      </c>
      <c r="J107" s="57">
        <v>24399</v>
      </c>
      <c r="K107" s="57">
        <v>27799</v>
      </c>
      <c r="L107" s="57">
        <v>30938</v>
      </c>
      <c r="M107" s="57">
        <v>34028</v>
      </c>
      <c r="N107" s="57">
        <v>37888</v>
      </c>
      <c r="O107" s="50"/>
      <c r="P107" s="2" t="s">
        <v>0</v>
      </c>
      <c r="Q107" s="2" t="s">
        <v>0</v>
      </c>
      <c r="R107" s="2" t="s">
        <v>0</v>
      </c>
      <c r="S107" s="2" t="s">
        <v>0</v>
      </c>
      <c r="T107" s="2"/>
    </row>
    <row r="108" spans="1:20" ht="12" customHeight="1" x14ac:dyDescent="0.25">
      <c r="A108" s="54" t="s">
        <v>3</v>
      </c>
      <c r="B108" s="68" t="s">
        <v>273</v>
      </c>
      <c r="C108" s="57">
        <v>2958</v>
      </c>
      <c r="D108" s="57">
        <v>6688</v>
      </c>
      <c r="E108" s="57">
        <v>11199</v>
      </c>
      <c r="F108" s="57">
        <v>16359</v>
      </c>
      <c r="G108" s="57">
        <v>21477</v>
      </c>
      <c r="H108" s="57">
        <v>27058</v>
      </c>
      <c r="I108" s="57">
        <v>32369</v>
      </c>
      <c r="J108" s="57">
        <v>38159</v>
      </c>
      <c r="K108" s="57">
        <v>43852</v>
      </c>
      <c r="L108" s="57">
        <v>49587</v>
      </c>
      <c r="M108" s="57">
        <v>54972</v>
      </c>
      <c r="N108" s="57">
        <v>60862</v>
      </c>
      <c r="O108" s="50"/>
      <c r="P108" s="2" t="s">
        <v>0</v>
      </c>
      <c r="Q108" s="2" t="s">
        <v>0</v>
      </c>
      <c r="R108" s="2" t="s">
        <v>0</v>
      </c>
      <c r="S108" s="2"/>
      <c r="T108" s="2"/>
    </row>
    <row r="109" spans="1:20" ht="12" customHeight="1" x14ac:dyDescent="0.25">
      <c r="A109" s="54" t="s">
        <v>3</v>
      </c>
      <c r="B109" s="68" t="s">
        <v>288</v>
      </c>
      <c r="C109" s="57">
        <v>4363</v>
      </c>
      <c r="D109" s="57">
        <v>10013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0"/>
      <c r="P109" s="2"/>
      <c r="Q109" s="2"/>
      <c r="R109" s="2"/>
      <c r="S109" s="2"/>
      <c r="T109" s="2"/>
    </row>
    <row r="110" spans="1:20" ht="12" customHeight="1" x14ac:dyDescent="0.25">
      <c r="A110" s="54" t="s">
        <v>5</v>
      </c>
      <c r="B110" s="68" t="s">
        <v>254</v>
      </c>
      <c r="C110" s="57">
        <v>778808</v>
      </c>
      <c r="D110" s="57">
        <v>1608934</v>
      </c>
      <c r="E110" s="57">
        <v>2548936</v>
      </c>
      <c r="F110" s="57">
        <v>3532635</v>
      </c>
      <c r="G110" s="57">
        <v>4599677</v>
      </c>
      <c r="H110" s="57">
        <v>5516512</v>
      </c>
      <c r="I110" s="57">
        <v>6427559</v>
      </c>
      <c r="J110" s="57">
        <v>7447569</v>
      </c>
      <c r="K110" s="57">
        <v>8371583</v>
      </c>
      <c r="L110" s="57">
        <v>9324445</v>
      </c>
      <c r="M110" s="57">
        <v>10242399</v>
      </c>
      <c r="N110" s="57">
        <v>11329769</v>
      </c>
      <c r="O110" s="50"/>
      <c r="P110" s="2" t="s">
        <v>0</v>
      </c>
      <c r="Q110" s="2" t="s">
        <v>12</v>
      </c>
      <c r="R110" s="2"/>
      <c r="S110" s="2"/>
      <c r="T110" s="2"/>
    </row>
    <row r="111" spans="1:20" ht="12" customHeight="1" x14ac:dyDescent="0.25">
      <c r="A111" s="54" t="s">
        <v>5</v>
      </c>
      <c r="B111" s="68" t="s">
        <v>273</v>
      </c>
      <c r="C111" s="57">
        <v>858019</v>
      </c>
      <c r="D111" s="57">
        <v>1807142</v>
      </c>
      <c r="E111" s="57">
        <v>2949613</v>
      </c>
      <c r="F111" s="57">
        <v>4057576</v>
      </c>
      <c r="G111" s="57">
        <v>5119569</v>
      </c>
      <c r="H111" s="57">
        <v>6179091</v>
      </c>
      <c r="I111" s="57">
        <v>7318811</v>
      </c>
      <c r="J111" s="57">
        <v>8374590</v>
      </c>
      <c r="K111" s="57">
        <v>9230557</v>
      </c>
      <c r="L111" s="57">
        <v>10231341</v>
      </c>
      <c r="M111" s="57">
        <v>11217274</v>
      </c>
      <c r="N111" s="57">
        <v>12681685</v>
      </c>
      <c r="O111" s="50"/>
      <c r="P111" s="2"/>
      <c r="Q111" s="2"/>
      <c r="R111" s="2"/>
      <c r="S111" s="2"/>
      <c r="T111" s="2"/>
    </row>
    <row r="112" spans="1:20" ht="12" customHeight="1" x14ac:dyDescent="0.25">
      <c r="A112" s="66" t="s">
        <v>5</v>
      </c>
      <c r="B112" s="69" t="s">
        <v>288</v>
      </c>
      <c r="C112" s="65">
        <v>897826</v>
      </c>
      <c r="D112" s="65">
        <v>1958896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50"/>
      <c r="P112" s="2" t="s">
        <v>0</v>
      </c>
      <c r="Q112" s="2" t="s">
        <v>0</v>
      </c>
      <c r="R112" s="2" t="s">
        <v>0</v>
      </c>
      <c r="S112" s="2"/>
    </row>
    <row r="113" spans="1:20" ht="11.1" customHeight="1" x14ac:dyDescent="0.25">
      <c r="A113" s="2"/>
      <c r="B113" s="8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50"/>
      <c r="P113" s="2" t="s">
        <v>0</v>
      </c>
      <c r="Q113" s="2" t="s">
        <v>0</v>
      </c>
      <c r="R113" s="2" t="s">
        <v>0</v>
      </c>
      <c r="S113" s="2"/>
    </row>
    <row r="114" spans="1:20" ht="65.25" customHeight="1" x14ac:dyDescent="0.25">
      <c r="A114" s="52" t="s">
        <v>41</v>
      </c>
      <c r="B114" s="67" t="s">
        <v>72</v>
      </c>
      <c r="C114" s="53" t="s">
        <v>73</v>
      </c>
      <c r="D114" s="53" t="s">
        <v>74</v>
      </c>
      <c r="E114" s="53" t="s">
        <v>75</v>
      </c>
      <c r="F114" s="53" t="s">
        <v>76</v>
      </c>
      <c r="G114" s="53" t="s">
        <v>77</v>
      </c>
      <c r="H114" s="53" t="s">
        <v>78</v>
      </c>
      <c r="I114" s="53" t="s">
        <v>79</v>
      </c>
      <c r="J114" s="53" t="s">
        <v>80</v>
      </c>
      <c r="K114" s="53" t="s">
        <v>81</v>
      </c>
      <c r="L114" s="53" t="s">
        <v>82</v>
      </c>
      <c r="M114" s="53" t="s">
        <v>83</v>
      </c>
      <c r="N114" s="53" t="s">
        <v>84</v>
      </c>
      <c r="O114" s="50"/>
      <c r="P114" s="2" t="s">
        <v>0</v>
      </c>
      <c r="Q114" s="2"/>
      <c r="R114" s="2"/>
      <c r="S114" s="2"/>
      <c r="T114" s="2"/>
    </row>
    <row r="115" spans="1:20" ht="12" customHeight="1" x14ac:dyDescent="0.25">
      <c r="A115" s="71" t="s">
        <v>155</v>
      </c>
      <c r="B115" s="93" t="s">
        <v>254</v>
      </c>
      <c r="C115" s="72">
        <v>821652</v>
      </c>
      <c r="D115" s="72">
        <v>1624828</v>
      </c>
      <c r="E115" s="72">
        <v>2750365</v>
      </c>
      <c r="F115" s="72">
        <v>3579342</v>
      </c>
      <c r="G115" s="72">
        <v>4525208</v>
      </c>
      <c r="H115" s="72">
        <v>5588499</v>
      </c>
      <c r="I115" s="72">
        <v>6461572</v>
      </c>
      <c r="J115" s="72">
        <v>7209866</v>
      </c>
      <c r="K115" s="72">
        <v>8258465</v>
      </c>
      <c r="L115" s="72">
        <v>9168463</v>
      </c>
      <c r="M115" s="72">
        <v>11797314</v>
      </c>
      <c r="N115" s="72">
        <v>11273153</v>
      </c>
      <c r="O115" s="50"/>
      <c r="P115" s="2"/>
      <c r="Q115" s="2"/>
      <c r="R115" s="2"/>
      <c r="S115" s="2"/>
      <c r="T115" s="2"/>
    </row>
    <row r="116" spans="1:20" ht="12" customHeight="1" x14ac:dyDescent="0.25">
      <c r="A116" s="71" t="s">
        <v>155</v>
      </c>
      <c r="B116" s="93" t="s">
        <v>273</v>
      </c>
      <c r="C116" s="72">
        <v>910144</v>
      </c>
      <c r="D116" s="72">
        <v>1812384</v>
      </c>
      <c r="E116" s="72">
        <v>3232365</v>
      </c>
      <c r="F116" s="72">
        <v>4195201</v>
      </c>
      <c r="G116" s="72">
        <v>5313132</v>
      </c>
      <c r="H116" s="72">
        <v>6578944</v>
      </c>
      <c r="I116" s="72">
        <v>7596608</v>
      </c>
      <c r="J116" s="72">
        <v>8501884</v>
      </c>
      <c r="K116" s="72">
        <v>9684894</v>
      </c>
      <c r="L116" s="72">
        <v>10723195</v>
      </c>
      <c r="M116" s="72">
        <v>11797314</v>
      </c>
      <c r="N116" s="72">
        <v>12846294</v>
      </c>
      <c r="O116" s="50"/>
      <c r="P116" s="2"/>
      <c r="Q116" s="2"/>
      <c r="R116" s="2"/>
      <c r="S116" s="2"/>
      <c r="T116" s="2"/>
    </row>
    <row r="117" spans="1:20" ht="12" customHeight="1" x14ac:dyDescent="0.25">
      <c r="A117" s="73" t="s">
        <v>155</v>
      </c>
      <c r="B117" s="94" t="s">
        <v>288</v>
      </c>
      <c r="C117" s="74">
        <v>1017149</v>
      </c>
      <c r="D117" s="74">
        <v>2012031</v>
      </c>
      <c r="E117" s="74"/>
      <c r="F117" s="74"/>
      <c r="G117" s="74"/>
      <c r="H117" s="99"/>
      <c r="I117" s="74"/>
      <c r="J117" s="74"/>
      <c r="K117" s="74"/>
      <c r="L117" s="74"/>
      <c r="M117" s="74"/>
      <c r="N117" s="74"/>
      <c r="O117" s="50"/>
      <c r="P117" s="2"/>
      <c r="Q117" s="2"/>
      <c r="R117" s="2"/>
      <c r="S117" s="2"/>
      <c r="T117" s="2"/>
    </row>
    <row r="118" spans="1:20" ht="12" customHeight="1" x14ac:dyDescent="0.25">
      <c r="A118" s="2"/>
      <c r="B118" s="83"/>
      <c r="C118" s="2"/>
      <c r="D118" s="2"/>
      <c r="E118" s="2"/>
      <c r="F118" s="2"/>
      <c r="G118" s="2"/>
      <c r="H118" s="2"/>
      <c r="I118" s="2"/>
      <c r="J118" s="2"/>
      <c r="K118" s="2"/>
      <c r="L118" s="2" t="s">
        <v>0</v>
      </c>
      <c r="M118" s="2"/>
      <c r="N118" s="2"/>
      <c r="O118" s="49"/>
      <c r="P118" s="2"/>
      <c r="Q118" s="2"/>
      <c r="R118" s="2"/>
      <c r="S118" s="2"/>
      <c r="T118" s="2"/>
    </row>
    <row r="119" spans="1:20" ht="12" customHeight="1" x14ac:dyDescent="0.25">
      <c r="A119" s="2"/>
      <c r="B119" s="83"/>
      <c r="C119" s="2"/>
      <c r="D119" s="2"/>
      <c r="E119" s="2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" customHeight="1" x14ac:dyDescent="0.25">
      <c r="A120" s="2"/>
      <c r="B120" s="8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1.1" customHeight="1" x14ac:dyDescent="0.25">
      <c r="A121" s="3"/>
      <c r="B121" s="70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1.1" customHeight="1" x14ac:dyDescent="0.25">
      <c r="A122" s="3"/>
      <c r="B122" s="8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1.1" customHeight="1" x14ac:dyDescent="0.25">
      <c r="A123" s="3"/>
      <c r="B123" s="84"/>
      <c r="C123" s="2" t="s">
        <v>0</v>
      </c>
      <c r="D123" s="2"/>
      <c r="E123" s="2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2"/>
    </row>
    <row r="124" spans="1:20" ht="11.1" customHeight="1" x14ac:dyDescent="0.25">
      <c r="A124" s="3"/>
      <c r="B124" s="84"/>
      <c r="C124" s="2"/>
      <c r="D124" s="2"/>
      <c r="E124" s="2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2"/>
    </row>
    <row r="125" spans="1:20" ht="11.1" customHeight="1" x14ac:dyDescent="0.25">
      <c r="A125" s="3" t="s">
        <v>0</v>
      </c>
      <c r="B125" s="84"/>
      <c r="C125" s="2"/>
      <c r="D125" s="2"/>
      <c r="E125" s="2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2"/>
    </row>
    <row r="126" spans="1:20" ht="11.1" customHeight="1" x14ac:dyDescent="0.25">
      <c r="A126" s="3"/>
      <c r="B126" s="8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3"/>
      <c r="B127" s="8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20" x14ac:dyDescent="0.25">
      <c r="B128" s="48"/>
    </row>
    <row r="129" spans="2:9" x14ac:dyDescent="0.25">
      <c r="B129" s="48"/>
    </row>
    <row r="130" spans="2:9" x14ac:dyDescent="0.25">
      <c r="F130" t="s">
        <v>0</v>
      </c>
      <c r="I130" t="s">
        <v>0</v>
      </c>
    </row>
  </sheetData>
  <hyperlinks>
    <hyperlink ref="A5" location="Content!A1" display="Back to content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Z257"/>
  <sheetViews>
    <sheetView showGridLines="0" zoomScale="90" zoomScaleNormal="90" workbookViewId="0">
      <selection activeCell="D5" sqref="D5"/>
    </sheetView>
  </sheetViews>
  <sheetFormatPr defaultColWidth="11.44140625" defaultRowHeight="13.2" x14ac:dyDescent="0.25"/>
  <cols>
    <col min="1" max="1" width="9.109375" customWidth="1"/>
    <col min="2" max="26" width="8.6640625" customWidth="1"/>
    <col min="257" max="257" width="9.109375" customWidth="1"/>
    <col min="258" max="282" width="8.6640625" customWidth="1"/>
    <col min="513" max="513" width="9.109375" customWidth="1"/>
    <col min="514" max="538" width="8.6640625" customWidth="1"/>
    <col min="769" max="769" width="9.109375" customWidth="1"/>
    <col min="770" max="794" width="8.6640625" customWidth="1"/>
    <col min="1025" max="1025" width="9.109375" customWidth="1"/>
    <col min="1026" max="1050" width="8.6640625" customWidth="1"/>
    <col min="1281" max="1281" width="9.109375" customWidth="1"/>
    <col min="1282" max="1306" width="8.6640625" customWidth="1"/>
    <col min="1537" max="1537" width="9.109375" customWidth="1"/>
    <col min="1538" max="1562" width="8.6640625" customWidth="1"/>
    <col min="1793" max="1793" width="9.109375" customWidth="1"/>
    <col min="1794" max="1818" width="8.6640625" customWidth="1"/>
    <col min="2049" max="2049" width="9.109375" customWidth="1"/>
    <col min="2050" max="2074" width="8.6640625" customWidth="1"/>
    <col min="2305" max="2305" width="9.109375" customWidth="1"/>
    <col min="2306" max="2330" width="8.6640625" customWidth="1"/>
    <col min="2561" max="2561" width="9.109375" customWidth="1"/>
    <col min="2562" max="2586" width="8.6640625" customWidth="1"/>
    <col min="2817" max="2817" width="9.109375" customWidth="1"/>
    <col min="2818" max="2842" width="8.6640625" customWidth="1"/>
    <col min="3073" max="3073" width="9.109375" customWidth="1"/>
    <col min="3074" max="3098" width="8.6640625" customWidth="1"/>
    <col min="3329" max="3329" width="9.109375" customWidth="1"/>
    <col min="3330" max="3354" width="8.6640625" customWidth="1"/>
    <col min="3585" max="3585" width="9.109375" customWidth="1"/>
    <col min="3586" max="3610" width="8.6640625" customWidth="1"/>
    <col min="3841" max="3841" width="9.109375" customWidth="1"/>
    <col min="3842" max="3866" width="8.6640625" customWidth="1"/>
    <col min="4097" max="4097" width="9.109375" customWidth="1"/>
    <col min="4098" max="4122" width="8.6640625" customWidth="1"/>
    <col min="4353" max="4353" width="9.109375" customWidth="1"/>
    <col min="4354" max="4378" width="8.6640625" customWidth="1"/>
    <col min="4609" max="4609" width="9.109375" customWidth="1"/>
    <col min="4610" max="4634" width="8.6640625" customWidth="1"/>
    <col min="4865" max="4865" width="9.109375" customWidth="1"/>
    <col min="4866" max="4890" width="8.6640625" customWidth="1"/>
    <col min="5121" max="5121" width="9.109375" customWidth="1"/>
    <col min="5122" max="5146" width="8.6640625" customWidth="1"/>
    <col min="5377" max="5377" width="9.109375" customWidth="1"/>
    <col min="5378" max="5402" width="8.6640625" customWidth="1"/>
    <col min="5633" max="5633" width="9.109375" customWidth="1"/>
    <col min="5634" max="5658" width="8.6640625" customWidth="1"/>
    <col min="5889" max="5889" width="9.109375" customWidth="1"/>
    <col min="5890" max="5914" width="8.6640625" customWidth="1"/>
    <col min="6145" max="6145" width="9.109375" customWidth="1"/>
    <col min="6146" max="6170" width="8.6640625" customWidth="1"/>
    <col min="6401" max="6401" width="9.109375" customWidth="1"/>
    <col min="6402" max="6426" width="8.6640625" customWidth="1"/>
    <col min="6657" max="6657" width="9.109375" customWidth="1"/>
    <col min="6658" max="6682" width="8.6640625" customWidth="1"/>
    <col min="6913" max="6913" width="9.109375" customWidth="1"/>
    <col min="6914" max="6938" width="8.6640625" customWidth="1"/>
    <col min="7169" max="7169" width="9.109375" customWidth="1"/>
    <col min="7170" max="7194" width="8.6640625" customWidth="1"/>
    <col min="7425" max="7425" width="9.109375" customWidth="1"/>
    <col min="7426" max="7450" width="8.6640625" customWidth="1"/>
    <col min="7681" max="7681" width="9.109375" customWidth="1"/>
    <col min="7682" max="7706" width="8.6640625" customWidth="1"/>
    <col min="7937" max="7937" width="9.109375" customWidth="1"/>
    <col min="7938" max="7962" width="8.6640625" customWidth="1"/>
    <col min="8193" max="8193" width="9.109375" customWidth="1"/>
    <col min="8194" max="8218" width="8.6640625" customWidth="1"/>
    <col min="8449" max="8449" width="9.109375" customWidth="1"/>
    <col min="8450" max="8474" width="8.6640625" customWidth="1"/>
    <col min="8705" max="8705" width="9.109375" customWidth="1"/>
    <col min="8706" max="8730" width="8.6640625" customWidth="1"/>
    <col min="8961" max="8961" width="9.109375" customWidth="1"/>
    <col min="8962" max="8986" width="8.6640625" customWidth="1"/>
    <col min="9217" max="9217" width="9.109375" customWidth="1"/>
    <col min="9218" max="9242" width="8.6640625" customWidth="1"/>
    <col min="9473" max="9473" width="9.109375" customWidth="1"/>
    <col min="9474" max="9498" width="8.6640625" customWidth="1"/>
    <col min="9729" max="9729" width="9.109375" customWidth="1"/>
    <col min="9730" max="9754" width="8.6640625" customWidth="1"/>
    <col min="9985" max="9985" width="9.109375" customWidth="1"/>
    <col min="9986" max="10010" width="8.6640625" customWidth="1"/>
    <col min="10241" max="10241" width="9.109375" customWidth="1"/>
    <col min="10242" max="10266" width="8.6640625" customWidth="1"/>
    <col min="10497" max="10497" width="9.109375" customWidth="1"/>
    <col min="10498" max="10522" width="8.6640625" customWidth="1"/>
    <col min="10753" max="10753" width="9.109375" customWidth="1"/>
    <col min="10754" max="10778" width="8.6640625" customWidth="1"/>
    <col min="11009" max="11009" width="9.109375" customWidth="1"/>
    <col min="11010" max="11034" width="8.6640625" customWidth="1"/>
    <col min="11265" max="11265" width="9.109375" customWidth="1"/>
    <col min="11266" max="11290" width="8.6640625" customWidth="1"/>
    <col min="11521" max="11521" width="9.109375" customWidth="1"/>
    <col min="11522" max="11546" width="8.6640625" customWidth="1"/>
    <col min="11777" max="11777" width="9.109375" customWidth="1"/>
    <col min="11778" max="11802" width="8.6640625" customWidth="1"/>
    <col min="12033" max="12033" width="9.109375" customWidth="1"/>
    <col min="12034" max="12058" width="8.6640625" customWidth="1"/>
    <col min="12289" max="12289" width="9.109375" customWidth="1"/>
    <col min="12290" max="12314" width="8.6640625" customWidth="1"/>
    <col min="12545" max="12545" width="9.109375" customWidth="1"/>
    <col min="12546" max="12570" width="8.6640625" customWidth="1"/>
    <col min="12801" max="12801" width="9.109375" customWidth="1"/>
    <col min="12802" max="12826" width="8.6640625" customWidth="1"/>
    <col min="13057" max="13057" width="9.109375" customWidth="1"/>
    <col min="13058" max="13082" width="8.6640625" customWidth="1"/>
    <col min="13313" max="13313" width="9.109375" customWidth="1"/>
    <col min="13314" max="13338" width="8.6640625" customWidth="1"/>
    <col min="13569" max="13569" width="9.109375" customWidth="1"/>
    <col min="13570" max="13594" width="8.6640625" customWidth="1"/>
    <col min="13825" max="13825" width="9.109375" customWidth="1"/>
    <col min="13826" max="13850" width="8.6640625" customWidth="1"/>
    <col min="14081" max="14081" width="9.109375" customWidth="1"/>
    <col min="14082" max="14106" width="8.6640625" customWidth="1"/>
    <col min="14337" max="14337" width="9.109375" customWidth="1"/>
    <col min="14338" max="14362" width="8.6640625" customWidth="1"/>
    <col min="14593" max="14593" width="9.109375" customWidth="1"/>
    <col min="14594" max="14618" width="8.6640625" customWidth="1"/>
    <col min="14849" max="14849" width="9.109375" customWidth="1"/>
    <col min="14850" max="14874" width="8.6640625" customWidth="1"/>
    <col min="15105" max="15105" width="9.109375" customWidth="1"/>
    <col min="15106" max="15130" width="8.6640625" customWidth="1"/>
    <col min="15361" max="15361" width="9.109375" customWidth="1"/>
    <col min="15362" max="15386" width="8.6640625" customWidth="1"/>
    <col min="15617" max="15617" width="9.109375" customWidth="1"/>
    <col min="15618" max="15642" width="8.6640625" customWidth="1"/>
    <col min="15873" max="15873" width="9.109375" customWidth="1"/>
    <col min="15874" max="15898" width="8.6640625" customWidth="1"/>
    <col min="16129" max="16129" width="9.109375" customWidth="1"/>
    <col min="16130" max="16154" width="8.6640625" customWidth="1"/>
  </cols>
  <sheetData>
    <row r="5" spans="2:2" x14ac:dyDescent="0.25">
      <c r="B5" s="7" t="s">
        <v>70</v>
      </c>
    </row>
    <row r="25" spans="4:11" x14ac:dyDescent="0.25">
      <c r="D25" s="3"/>
      <c r="K25" s="3"/>
    </row>
    <row r="46" spans="4:12" x14ac:dyDescent="0.25">
      <c r="D46" s="3"/>
      <c r="L46" s="3"/>
    </row>
    <row r="67" spans="4:22" x14ac:dyDescent="0.25">
      <c r="D67" s="3"/>
      <c r="L67" s="3"/>
      <c r="V67" s="3"/>
    </row>
    <row r="88" spans="4:4" x14ac:dyDescent="0.25">
      <c r="D88" s="3"/>
    </row>
    <row r="109" spans="4:13" x14ac:dyDescent="0.25">
      <c r="D109" s="3"/>
      <c r="M109" s="3"/>
    </row>
    <row r="117" spans="26:26" x14ac:dyDescent="0.25">
      <c r="Z117" s="3"/>
    </row>
    <row r="130" spans="4:13" x14ac:dyDescent="0.25">
      <c r="D130" s="3"/>
      <c r="M130" s="3"/>
    </row>
    <row r="151" spans="4:22" x14ac:dyDescent="0.25">
      <c r="D151" s="3"/>
      <c r="L151" s="3"/>
    </row>
    <row r="152" spans="4:22" x14ac:dyDescent="0.25">
      <c r="V152" s="3"/>
    </row>
    <row r="173" spans="4:13" x14ac:dyDescent="0.25">
      <c r="D173" s="3"/>
      <c r="M173" s="3"/>
    </row>
    <row r="193" spans="4:13" x14ac:dyDescent="0.25">
      <c r="D193" s="9"/>
      <c r="M193" s="3"/>
    </row>
    <row r="215" spans="4:13" x14ac:dyDescent="0.25">
      <c r="D215" s="3"/>
      <c r="M215" s="3"/>
    </row>
    <row r="236" spans="4:13" x14ac:dyDescent="0.25">
      <c r="D236" s="3"/>
      <c r="M236" s="3"/>
    </row>
    <row r="257" spans="4:13" x14ac:dyDescent="0.25">
      <c r="D257" s="3"/>
      <c r="M257" s="3"/>
    </row>
  </sheetData>
  <hyperlinks>
    <hyperlink ref="B5" location="Content!A1" display="Back to content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Q82"/>
  <sheetViews>
    <sheetView showGridLines="0" workbookViewId="0">
      <selection activeCell="A9" sqref="A9"/>
    </sheetView>
  </sheetViews>
  <sheetFormatPr defaultColWidth="9.109375" defaultRowHeight="13.2" x14ac:dyDescent="0.25"/>
  <cols>
    <col min="1" max="1" width="20" customWidth="1"/>
    <col min="2" max="74" width="11.6640625" customWidth="1"/>
    <col min="85" max="85" width="18.44140625" customWidth="1"/>
    <col min="86" max="109" width="11.6640625" customWidth="1"/>
  </cols>
  <sheetData>
    <row r="1" spans="1:62" x14ac:dyDescent="0.25">
      <c r="C1" t="s">
        <v>0</v>
      </c>
      <c r="D1" s="3" t="s">
        <v>0</v>
      </c>
      <c r="E1" t="s">
        <v>0</v>
      </c>
    </row>
    <row r="2" spans="1:62" x14ac:dyDescent="0.25">
      <c r="D2" s="3" t="s">
        <v>0</v>
      </c>
      <c r="E2" s="3" t="s">
        <v>0</v>
      </c>
      <c r="N2" s="101"/>
      <c r="O2" s="101"/>
    </row>
    <row r="3" spans="1:62" x14ac:dyDescent="0.25">
      <c r="D3" s="3" t="s">
        <v>0</v>
      </c>
      <c r="E3" t="s">
        <v>0</v>
      </c>
      <c r="F3" t="s">
        <v>0</v>
      </c>
      <c r="G3" s="3" t="s">
        <v>0</v>
      </c>
      <c r="J3" t="s">
        <v>0</v>
      </c>
      <c r="M3" s="3" t="s">
        <v>0</v>
      </c>
      <c r="N3" s="101"/>
      <c r="O3" s="101"/>
    </row>
    <row r="4" spans="1:62" x14ac:dyDescent="0.25">
      <c r="D4" t="s">
        <v>0</v>
      </c>
      <c r="F4" s="11"/>
      <c r="G4" s="51"/>
      <c r="H4" s="51"/>
      <c r="I4" s="51"/>
      <c r="J4" s="51"/>
      <c r="K4" s="51"/>
      <c r="L4" s="12"/>
      <c r="M4" s="12"/>
      <c r="N4" s="6"/>
      <c r="O4" s="6"/>
      <c r="AD4" t="s">
        <v>0</v>
      </c>
    </row>
    <row r="5" spans="1:62" x14ac:dyDescent="0.25">
      <c r="A5" s="7" t="s">
        <v>70</v>
      </c>
      <c r="E5" t="s">
        <v>0</v>
      </c>
      <c r="F5" s="11"/>
      <c r="G5" s="51" t="s">
        <v>0</v>
      </c>
      <c r="H5" s="51"/>
      <c r="I5" s="51"/>
      <c r="J5" s="51"/>
      <c r="K5" s="51"/>
      <c r="L5" s="12"/>
      <c r="M5" s="12"/>
      <c r="N5" s="6"/>
      <c r="O5" s="6"/>
    </row>
    <row r="6" spans="1:62" x14ac:dyDescent="0.25">
      <c r="A6" s="7"/>
      <c r="B6" s="3" t="s">
        <v>0</v>
      </c>
      <c r="F6" s="11"/>
      <c r="G6" s="51"/>
      <c r="H6" s="51"/>
      <c r="I6" s="51"/>
      <c r="J6" s="51"/>
      <c r="K6" s="51"/>
      <c r="L6" s="12"/>
      <c r="M6" s="12"/>
      <c r="N6" s="6"/>
      <c r="O6" s="6"/>
    </row>
    <row r="7" spans="1:62" x14ac:dyDescent="0.25">
      <c r="A7" s="7"/>
      <c r="B7" t="s">
        <v>0</v>
      </c>
      <c r="F7" s="11"/>
      <c r="G7" s="51"/>
      <c r="H7" s="51"/>
      <c r="I7" s="51"/>
      <c r="J7" s="51"/>
      <c r="K7" s="51"/>
      <c r="L7" s="12"/>
      <c r="M7" s="12"/>
      <c r="N7" s="6"/>
      <c r="O7" s="6"/>
    </row>
    <row r="8" spans="1:62" x14ac:dyDescent="0.25">
      <c r="G8" s="51"/>
    </row>
    <row r="9" spans="1:62" ht="187.2" x14ac:dyDescent="0.25">
      <c r="A9" s="52" t="s">
        <v>41</v>
      </c>
      <c r="B9" s="81" t="s">
        <v>293</v>
      </c>
      <c r="C9" s="81" t="s">
        <v>294</v>
      </c>
      <c r="D9" s="81" t="s">
        <v>295</v>
      </c>
      <c r="E9" s="82" t="s">
        <v>30</v>
      </c>
      <c r="F9" s="81" t="s">
        <v>286</v>
      </c>
      <c r="G9" s="82" t="s">
        <v>30</v>
      </c>
      <c r="H9" s="80" t="s">
        <v>272</v>
      </c>
      <c r="I9" s="80" t="s">
        <v>274</v>
      </c>
      <c r="J9" s="80" t="s">
        <v>275</v>
      </c>
      <c r="K9" s="80" t="s">
        <v>276</v>
      </c>
      <c r="L9" s="80" t="s">
        <v>277</v>
      </c>
      <c r="M9" s="80" t="s">
        <v>278</v>
      </c>
      <c r="N9" s="80" t="s">
        <v>279</v>
      </c>
      <c r="O9" s="80" t="s">
        <v>280</v>
      </c>
      <c r="P9" s="80" t="s">
        <v>281</v>
      </c>
      <c r="Q9" s="80" t="s">
        <v>282</v>
      </c>
      <c r="R9" s="80" t="s">
        <v>283</v>
      </c>
      <c r="S9" s="80" t="s">
        <v>284</v>
      </c>
      <c r="T9" s="80" t="s">
        <v>287</v>
      </c>
      <c r="U9" s="80" t="s">
        <v>297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9"/>
      <c r="BA9" s="2"/>
      <c r="BB9" s="2"/>
      <c r="BC9" s="2"/>
      <c r="BD9" s="2"/>
      <c r="BE9" s="2"/>
      <c r="BF9" s="2"/>
      <c r="BG9" s="2"/>
      <c r="BH9" s="49"/>
    </row>
    <row r="10" spans="1:62" ht="12" customHeight="1" x14ac:dyDescent="0.3">
      <c r="A10" s="54" t="s">
        <v>54</v>
      </c>
      <c r="B10" s="55">
        <v>472404</v>
      </c>
      <c r="C10" s="55">
        <v>498098</v>
      </c>
      <c r="D10" s="55">
        <v>25694</v>
      </c>
      <c r="E10" s="56">
        <v>5.4389886622467243E-2</v>
      </c>
      <c r="F10" s="55">
        <v>25694</v>
      </c>
      <c r="G10" s="56">
        <v>5.4389886622467243E-2</v>
      </c>
      <c r="H10" s="57">
        <v>237909</v>
      </c>
      <c r="I10" s="57">
        <v>234495</v>
      </c>
      <c r="J10" s="57">
        <v>344860</v>
      </c>
      <c r="K10" s="57">
        <v>262222</v>
      </c>
      <c r="L10" s="57">
        <v>291038</v>
      </c>
      <c r="M10" s="57">
        <v>326225</v>
      </c>
      <c r="N10" s="57">
        <v>281379</v>
      </c>
      <c r="O10" s="57">
        <v>241483</v>
      </c>
      <c r="P10" s="57">
        <v>284214</v>
      </c>
      <c r="Q10" s="57">
        <v>258307</v>
      </c>
      <c r="R10" s="57">
        <v>270376</v>
      </c>
      <c r="S10" s="57">
        <v>273424</v>
      </c>
      <c r="T10" s="57">
        <v>252159</v>
      </c>
      <c r="U10" s="57">
        <v>245939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49"/>
      <c r="AW10" s="2"/>
      <c r="AX10" s="2"/>
      <c r="BA10" s="2"/>
      <c r="BB10" s="2"/>
      <c r="BC10" s="2"/>
      <c r="BD10" s="2"/>
      <c r="BE10" s="2"/>
      <c r="BF10" s="2"/>
      <c r="BG10" s="2"/>
      <c r="BH10" s="49"/>
      <c r="BI10" s="2"/>
      <c r="BJ10" s="2"/>
    </row>
    <row r="11" spans="1:62" ht="12" customHeight="1" x14ac:dyDescent="0.3">
      <c r="A11" s="54" t="s">
        <v>251</v>
      </c>
      <c r="B11" s="55">
        <v>322333</v>
      </c>
      <c r="C11" s="55">
        <v>368725</v>
      </c>
      <c r="D11" s="55">
        <v>46392</v>
      </c>
      <c r="E11" s="92">
        <v>0.14392569175355918</v>
      </c>
      <c r="F11" s="55">
        <v>46392</v>
      </c>
      <c r="G11" s="56">
        <v>0.14392569175355918</v>
      </c>
      <c r="H11" s="57">
        <v>155714</v>
      </c>
      <c r="I11" s="57">
        <v>166619</v>
      </c>
      <c r="J11" s="57">
        <v>249953</v>
      </c>
      <c r="K11" s="57">
        <v>168576</v>
      </c>
      <c r="L11" s="57">
        <v>189954</v>
      </c>
      <c r="M11" s="57">
        <v>209770</v>
      </c>
      <c r="N11" s="57">
        <v>158348</v>
      </c>
      <c r="O11" s="57">
        <v>144962</v>
      </c>
      <c r="P11" s="57">
        <v>200176</v>
      </c>
      <c r="Q11" s="57">
        <v>179721</v>
      </c>
      <c r="R11" s="97">
        <v>160094</v>
      </c>
      <c r="S11" s="97">
        <v>135731</v>
      </c>
      <c r="T11" s="97">
        <v>182744</v>
      </c>
      <c r="U11" s="97">
        <v>185981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49"/>
      <c r="AW11" s="2"/>
      <c r="AX11" s="2"/>
      <c r="BA11" s="2"/>
      <c r="BB11" s="2"/>
      <c r="BC11" s="2"/>
      <c r="BD11" s="2"/>
      <c r="BE11" s="2"/>
      <c r="BF11" s="2"/>
      <c r="BG11" s="2"/>
      <c r="BH11" s="49"/>
      <c r="BI11" s="2"/>
      <c r="BJ11" s="2"/>
    </row>
    <row r="12" spans="1:62" ht="12" customHeight="1" x14ac:dyDescent="0.3">
      <c r="A12" s="54" t="s">
        <v>219</v>
      </c>
      <c r="B12" s="55">
        <v>229851</v>
      </c>
      <c r="C12" s="55">
        <v>0</v>
      </c>
      <c r="D12" s="55">
        <v>-229851</v>
      </c>
      <c r="E12" s="56">
        <v>-1</v>
      </c>
      <c r="F12" s="55">
        <v>-229851</v>
      </c>
      <c r="G12" s="56">
        <v>-1</v>
      </c>
      <c r="H12" s="57">
        <v>116728</v>
      </c>
      <c r="I12" s="57">
        <v>113123</v>
      </c>
      <c r="J12" s="57">
        <v>167166</v>
      </c>
      <c r="K12" s="57">
        <v>120032</v>
      </c>
      <c r="L12" s="57">
        <v>135386</v>
      </c>
      <c r="M12" s="57">
        <v>164394</v>
      </c>
      <c r="N12" s="57">
        <v>120520</v>
      </c>
      <c r="O12" s="57">
        <v>99217</v>
      </c>
      <c r="P12" s="57">
        <v>137883</v>
      </c>
      <c r="Q12" s="57">
        <v>129526</v>
      </c>
      <c r="R12" s="57">
        <v>131356</v>
      </c>
      <c r="S12" s="57">
        <v>143261</v>
      </c>
      <c r="T12" s="57">
        <v>0</v>
      </c>
      <c r="U12" s="57">
        <v>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49"/>
      <c r="AW12" s="2"/>
      <c r="AX12" s="2"/>
      <c r="BA12" s="2"/>
      <c r="BB12" s="2"/>
      <c r="BC12" s="2"/>
      <c r="BD12" s="2"/>
      <c r="BE12" s="2"/>
      <c r="BF12" s="2"/>
      <c r="BG12" s="2"/>
      <c r="BH12" s="49"/>
      <c r="BI12" s="2"/>
      <c r="BJ12" s="2"/>
    </row>
    <row r="13" spans="1:62" ht="12" customHeight="1" x14ac:dyDescent="0.3">
      <c r="A13" s="54" t="s">
        <v>289</v>
      </c>
      <c r="B13" s="55">
        <v>0</v>
      </c>
      <c r="C13" s="55">
        <v>191648</v>
      </c>
      <c r="D13" s="55">
        <v>191648</v>
      </c>
      <c r="E13" s="56">
        <v>1</v>
      </c>
      <c r="F13" s="55">
        <v>191648</v>
      </c>
      <c r="G13" s="56">
        <v>1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93979</v>
      </c>
      <c r="U13" s="57">
        <v>97669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49"/>
      <c r="AW13" s="2"/>
      <c r="AX13" s="2"/>
      <c r="BA13" s="2"/>
      <c r="BB13" s="2"/>
      <c r="BC13" s="2"/>
      <c r="BD13" s="2"/>
      <c r="BE13" s="2"/>
      <c r="BF13" s="2"/>
      <c r="BG13" s="2"/>
      <c r="BH13" s="49"/>
      <c r="BI13" s="2"/>
      <c r="BJ13" s="2"/>
    </row>
    <row r="14" spans="1:62" ht="12" customHeight="1" x14ac:dyDescent="0.3">
      <c r="A14" s="54" t="s">
        <v>58</v>
      </c>
      <c r="B14" s="55">
        <v>77001</v>
      </c>
      <c r="C14" s="55">
        <v>71781</v>
      </c>
      <c r="D14" s="55">
        <v>-5220</v>
      </c>
      <c r="E14" s="56">
        <v>-6.7791327385358646E-2</v>
      </c>
      <c r="F14" s="55">
        <v>-5220</v>
      </c>
      <c r="G14" s="56">
        <v>-6.7791327385358646E-2</v>
      </c>
      <c r="H14" s="57">
        <v>37609</v>
      </c>
      <c r="I14" s="57">
        <v>39392</v>
      </c>
      <c r="J14" s="57">
        <v>61472</v>
      </c>
      <c r="K14" s="57">
        <v>41014</v>
      </c>
      <c r="L14" s="57">
        <v>44942</v>
      </c>
      <c r="M14" s="57">
        <v>51263</v>
      </c>
      <c r="N14" s="57">
        <v>41533</v>
      </c>
      <c r="O14" s="57">
        <v>34697</v>
      </c>
      <c r="P14" s="57">
        <v>50760</v>
      </c>
      <c r="Q14" s="57">
        <v>41297</v>
      </c>
      <c r="R14" s="57">
        <v>38363</v>
      </c>
      <c r="S14" s="57">
        <v>36029</v>
      </c>
      <c r="T14" s="57">
        <v>37167</v>
      </c>
      <c r="U14" s="57">
        <v>34614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49"/>
      <c r="AW14" s="2"/>
      <c r="AX14" s="2"/>
      <c r="BA14" s="2"/>
      <c r="BB14" s="2"/>
      <c r="BC14" s="2"/>
      <c r="BD14" s="2"/>
      <c r="BE14" s="2"/>
      <c r="BF14" s="2"/>
      <c r="BG14" s="2"/>
      <c r="BH14" s="49"/>
      <c r="BI14" s="2"/>
      <c r="BJ14" s="2"/>
    </row>
    <row r="15" spans="1:62" ht="12" customHeight="1" x14ac:dyDescent="0.3">
      <c r="A15" s="54" t="s">
        <v>59</v>
      </c>
      <c r="B15" s="55">
        <v>40803</v>
      </c>
      <c r="C15" s="55">
        <v>57448</v>
      </c>
      <c r="D15" s="55">
        <v>16645</v>
      </c>
      <c r="E15" s="56">
        <v>0.40793569100311244</v>
      </c>
      <c r="F15" s="55">
        <v>16645</v>
      </c>
      <c r="G15" s="56">
        <v>0.40793569100311244</v>
      </c>
      <c r="H15" s="57">
        <v>20736</v>
      </c>
      <c r="I15" s="57">
        <v>20067</v>
      </c>
      <c r="J15" s="57">
        <v>29193</v>
      </c>
      <c r="K15" s="57">
        <v>20011</v>
      </c>
      <c r="L15" s="57">
        <v>27988</v>
      </c>
      <c r="M15" s="57">
        <v>25834</v>
      </c>
      <c r="N15" s="57">
        <v>21714</v>
      </c>
      <c r="O15" s="57">
        <v>15446</v>
      </c>
      <c r="P15" s="57">
        <v>24267</v>
      </c>
      <c r="Q15" s="57">
        <v>24806</v>
      </c>
      <c r="R15" s="57">
        <v>26557</v>
      </c>
      <c r="S15" s="57">
        <v>30531</v>
      </c>
      <c r="T15" s="57">
        <v>27716</v>
      </c>
      <c r="U15" s="57">
        <v>29732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49"/>
      <c r="AW15" s="2"/>
      <c r="AX15" s="2"/>
      <c r="BA15" s="2"/>
      <c r="BB15" s="2"/>
      <c r="BC15" s="2"/>
      <c r="BD15" s="2"/>
      <c r="BE15" s="2"/>
      <c r="BF15" s="2"/>
      <c r="BG15" s="2"/>
      <c r="BH15" s="49"/>
      <c r="BI15" s="2"/>
      <c r="BJ15" s="2"/>
    </row>
    <row r="16" spans="1:62" ht="12" customHeight="1" x14ac:dyDescent="0.3">
      <c r="A16" s="54" t="s">
        <v>255</v>
      </c>
      <c r="B16" s="55">
        <v>102821</v>
      </c>
      <c r="C16" s="55">
        <v>104001</v>
      </c>
      <c r="D16" s="55">
        <v>1180</v>
      </c>
      <c r="E16" s="56">
        <v>1.1476254850662837E-2</v>
      </c>
      <c r="F16" s="55">
        <v>1180</v>
      </c>
      <c r="G16" s="56">
        <v>1.1476254850662837E-2</v>
      </c>
      <c r="H16" s="57">
        <v>35977</v>
      </c>
      <c r="I16" s="57">
        <v>66844</v>
      </c>
      <c r="J16" s="57">
        <v>79520</v>
      </c>
      <c r="K16" s="57">
        <v>51659</v>
      </c>
      <c r="L16" s="57">
        <v>55324</v>
      </c>
      <c r="M16" s="57">
        <v>63239</v>
      </c>
      <c r="N16" s="57">
        <v>51202</v>
      </c>
      <c r="O16" s="57">
        <v>48220</v>
      </c>
      <c r="P16" s="57">
        <v>69593</v>
      </c>
      <c r="Q16" s="57">
        <v>56377</v>
      </c>
      <c r="R16" s="57">
        <v>62255</v>
      </c>
      <c r="S16" s="57">
        <v>70223</v>
      </c>
      <c r="T16" s="57">
        <v>52901</v>
      </c>
      <c r="U16" s="57">
        <v>51100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49"/>
      <c r="AW16" s="2"/>
      <c r="AX16" s="2"/>
      <c r="BA16" s="2"/>
      <c r="BB16" s="2"/>
      <c r="BC16" s="2"/>
      <c r="BD16" s="2"/>
      <c r="BE16" s="2"/>
      <c r="BF16" s="2"/>
      <c r="BG16" s="2"/>
      <c r="BH16" s="49"/>
      <c r="BI16" s="2"/>
      <c r="BJ16" s="2"/>
    </row>
    <row r="17" spans="1:62" ht="12" customHeight="1" x14ac:dyDescent="0.3">
      <c r="A17" s="54" t="s">
        <v>61</v>
      </c>
      <c r="B17" s="55">
        <v>111718</v>
      </c>
      <c r="C17" s="55">
        <v>137353</v>
      </c>
      <c r="D17" s="55">
        <v>25635</v>
      </c>
      <c r="E17" s="56">
        <v>0.22946168030218939</v>
      </c>
      <c r="F17" s="55">
        <v>25635</v>
      </c>
      <c r="G17" s="56">
        <v>0.22946168030218939</v>
      </c>
      <c r="H17" s="57">
        <v>55447</v>
      </c>
      <c r="I17" s="57">
        <v>56271</v>
      </c>
      <c r="J17" s="57">
        <v>97895</v>
      </c>
      <c r="K17" s="57">
        <v>66644</v>
      </c>
      <c r="L17" s="57">
        <v>85297</v>
      </c>
      <c r="M17" s="57">
        <v>83887</v>
      </c>
      <c r="N17" s="57">
        <v>72180</v>
      </c>
      <c r="O17" s="57">
        <v>64231</v>
      </c>
      <c r="P17" s="57">
        <v>78167</v>
      </c>
      <c r="Q17" s="57">
        <v>76039</v>
      </c>
      <c r="R17" s="57">
        <v>82270</v>
      </c>
      <c r="S17" s="57">
        <v>95627</v>
      </c>
      <c r="T17" s="57">
        <v>71807</v>
      </c>
      <c r="U17" s="57">
        <v>65546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49"/>
      <c r="AW17" s="2"/>
      <c r="AX17" s="2"/>
      <c r="BA17" s="2"/>
      <c r="BB17" s="2"/>
      <c r="BC17" s="2"/>
      <c r="BD17" s="2"/>
      <c r="BE17" s="2"/>
      <c r="BF17" s="2"/>
      <c r="BG17" s="2"/>
      <c r="BH17" s="49"/>
      <c r="BI17" s="2"/>
      <c r="BJ17" s="2"/>
    </row>
    <row r="18" spans="1:62" ht="12" customHeight="1" x14ac:dyDescent="0.3">
      <c r="A18" s="54" t="s">
        <v>62</v>
      </c>
      <c r="B18" s="55">
        <v>162835</v>
      </c>
      <c r="C18" s="55">
        <v>167353</v>
      </c>
      <c r="D18" s="55">
        <v>4518</v>
      </c>
      <c r="E18" s="56">
        <v>2.7745877728989399E-2</v>
      </c>
      <c r="F18" s="55">
        <v>4518</v>
      </c>
      <c r="G18" s="56">
        <v>2.7745877728989399E-2</v>
      </c>
      <c r="H18" s="57">
        <v>85444</v>
      </c>
      <c r="I18" s="57">
        <v>77391</v>
      </c>
      <c r="J18" s="57">
        <v>119358</v>
      </c>
      <c r="K18" s="57">
        <v>89793</v>
      </c>
      <c r="L18" s="57">
        <v>96957</v>
      </c>
      <c r="M18" s="57">
        <v>106489</v>
      </c>
      <c r="N18" s="57">
        <v>96583</v>
      </c>
      <c r="O18" s="57">
        <v>76573</v>
      </c>
      <c r="P18" s="57">
        <v>102377</v>
      </c>
      <c r="Q18" s="57">
        <v>89578</v>
      </c>
      <c r="R18" s="97">
        <v>89089</v>
      </c>
      <c r="S18" s="97">
        <v>76835</v>
      </c>
      <c r="T18" s="97">
        <v>86388</v>
      </c>
      <c r="U18" s="97">
        <v>80965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49"/>
      <c r="AW18" s="2"/>
      <c r="AX18" s="2"/>
      <c r="BA18" s="2"/>
      <c r="BB18" s="2"/>
      <c r="BC18" s="2"/>
      <c r="BD18" s="2"/>
      <c r="BE18" s="2"/>
      <c r="BF18" s="2"/>
      <c r="BG18" s="2"/>
      <c r="BH18" s="49"/>
      <c r="BI18" s="2"/>
      <c r="BJ18" s="2"/>
    </row>
    <row r="19" spans="1:62" ht="12" customHeight="1" x14ac:dyDescent="0.3">
      <c r="A19" s="54" t="s">
        <v>220</v>
      </c>
      <c r="B19" s="55">
        <v>141322</v>
      </c>
      <c r="C19" s="55">
        <v>157548</v>
      </c>
      <c r="D19" s="55">
        <v>16226</v>
      </c>
      <c r="E19" s="56">
        <v>0.11481581070180158</v>
      </c>
      <c r="F19" s="55">
        <v>16226</v>
      </c>
      <c r="G19" s="56">
        <v>0.11481581070180158</v>
      </c>
      <c r="H19" s="57">
        <v>73299</v>
      </c>
      <c r="I19" s="57">
        <v>68023</v>
      </c>
      <c r="J19" s="57">
        <v>94519</v>
      </c>
      <c r="K19" s="57">
        <v>56180</v>
      </c>
      <c r="L19" s="57">
        <v>76154</v>
      </c>
      <c r="M19" s="57">
        <v>82166</v>
      </c>
      <c r="N19" s="57">
        <v>69913</v>
      </c>
      <c r="O19" s="57">
        <v>64702</v>
      </c>
      <c r="P19" s="57">
        <v>82236</v>
      </c>
      <c r="Q19" s="57">
        <v>74880</v>
      </c>
      <c r="R19" s="57">
        <v>68707</v>
      </c>
      <c r="S19" s="57">
        <v>77991</v>
      </c>
      <c r="T19" s="57">
        <v>82859</v>
      </c>
      <c r="U19" s="57">
        <v>74689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49"/>
      <c r="BA19" s="2"/>
      <c r="BB19" s="2"/>
      <c r="BC19" s="2"/>
      <c r="BD19" s="2"/>
      <c r="BE19" s="2"/>
      <c r="BF19" s="2"/>
      <c r="BG19" s="2"/>
      <c r="BH19" s="49"/>
    </row>
    <row r="20" spans="1:62" ht="12" customHeight="1" x14ac:dyDescent="0.3">
      <c r="A20" s="54" t="s">
        <v>221</v>
      </c>
      <c r="B20" s="55">
        <v>8371</v>
      </c>
      <c r="C20" s="55">
        <v>11575</v>
      </c>
      <c r="D20" s="55">
        <v>3204</v>
      </c>
      <c r="E20" s="56">
        <v>0.3827499701349899</v>
      </c>
      <c r="F20" s="55">
        <v>3204</v>
      </c>
      <c r="G20" s="56">
        <v>0.3827499701349899</v>
      </c>
      <c r="H20" s="57">
        <v>4690</v>
      </c>
      <c r="I20" s="57">
        <v>3681</v>
      </c>
      <c r="J20" s="57">
        <v>7775</v>
      </c>
      <c r="K20" s="57">
        <v>3933</v>
      </c>
      <c r="L20" s="57">
        <v>3729</v>
      </c>
      <c r="M20" s="57">
        <v>4828</v>
      </c>
      <c r="N20" s="57">
        <v>14916</v>
      </c>
      <c r="O20" s="57">
        <v>3817</v>
      </c>
      <c r="P20" s="57">
        <v>4459</v>
      </c>
      <c r="Q20" s="57">
        <v>5828</v>
      </c>
      <c r="R20" s="57">
        <v>5473</v>
      </c>
      <c r="S20" s="57">
        <v>4477</v>
      </c>
      <c r="T20" s="57">
        <v>5974</v>
      </c>
      <c r="U20" s="57">
        <v>5601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49"/>
      <c r="BA20" s="2"/>
      <c r="BB20" s="2"/>
      <c r="BC20" s="2"/>
      <c r="BD20" s="2"/>
      <c r="BE20" s="2"/>
      <c r="BF20" s="2"/>
      <c r="BG20" s="2"/>
      <c r="BH20" s="49"/>
    </row>
    <row r="21" spans="1:62" ht="12" customHeight="1" x14ac:dyDescent="0.3">
      <c r="A21" s="54" t="s">
        <v>222</v>
      </c>
      <c r="B21" s="55">
        <v>27438</v>
      </c>
      <c r="C21" s="55">
        <v>25081</v>
      </c>
      <c r="D21" s="55">
        <v>-2357</v>
      </c>
      <c r="E21" s="56">
        <v>-8.5902762592025672E-2</v>
      </c>
      <c r="F21" s="55">
        <v>-2357</v>
      </c>
      <c r="G21" s="56">
        <v>-8.5902762592025672E-2</v>
      </c>
      <c r="H21" s="57">
        <v>14950</v>
      </c>
      <c r="I21" s="57">
        <v>12488</v>
      </c>
      <c r="J21" s="57">
        <v>23653</v>
      </c>
      <c r="K21" s="57">
        <v>11652</v>
      </c>
      <c r="L21" s="57">
        <v>13676</v>
      </c>
      <c r="M21" s="57">
        <v>17409</v>
      </c>
      <c r="N21" s="57">
        <v>12986</v>
      </c>
      <c r="O21" s="57">
        <v>11998</v>
      </c>
      <c r="P21" s="57">
        <v>19853</v>
      </c>
      <c r="Q21" s="57">
        <v>14238</v>
      </c>
      <c r="R21" s="57">
        <v>14830</v>
      </c>
      <c r="S21" s="57">
        <v>14799</v>
      </c>
      <c r="T21" s="57">
        <v>12715</v>
      </c>
      <c r="U21" s="57">
        <v>12366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49"/>
      <c r="BA21" s="2"/>
      <c r="BB21" s="2"/>
      <c r="BC21" s="2"/>
      <c r="BD21" s="2"/>
      <c r="BE21" s="2"/>
      <c r="BF21" s="2"/>
      <c r="BG21" s="2"/>
      <c r="BH21" s="49"/>
    </row>
    <row r="22" spans="1:62" ht="12" customHeight="1" x14ac:dyDescent="0.3">
      <c r="A22" s="54" t="s">
        <v>290</v>
      </c>
      <c r="B22" s="55">
        <v>0</v>
      </c>
      <c r="C22" s="55">
        <v>58182</v>
      </c>
      <c r="D22" s="55">
        <v>58182</v>
      </c>
      <c r="E22" s="56">
        <v>1</v>
      </c>
      <c r="F22" s="55">
        <v>58182</v>
      </c>
      <c r="G22" s="56">
        <v>1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30782</v>
      </c>
      <c r="U22" s="57">
        <v>27400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49"/>
      <c r="BA22" s="2"/>
      <c r="BB22" s="2"/>
      <c r="BC22" s="2"/>
      <c r="BD22" s="2"/>
      <c r="BE22" s="2"/>
      <c r="BF22" s="2"/>
      <c r="BG22" s="2"/>
      <c r="BH22" s="49"/>
    </row>
    <row r="23" spans="1:62" ht="12" customHeight="1" x14ac:dyDescent="0.3">
      <c r="A23" s="54" t="s">
        <v>223</v>
      </c>
      <c r="B23" s="55">
        <v>24646</v>
      </c>
      <c r="C23" s="55">
        <v>33597</v>
      </c>
      <c r="D23" s="55">
        <v>8951</v>
      </c>
      <c r="E23" s="56">
        <v>0.36318266655846787</v>
      </c>
      <c r="F23" s="55">
        <v>8951</v>
      </c>
      <c r="G23" s="56">
        <v>0.36318266655846787</v>
      </c>
      <c r="H23" s="57">
        <v>12581</v>
      </c>
      <c r="I23" s="57">
        <v>12065</v>
      </c>
      <c r="J23" s="57">
        <v>19652</v>
      </c>
      <c r="K23" s="57">
        <v>13070</v>
      </c>
      <c r="L23" s="57">
        <v>16248</v>
      </c>
      <c r="M23" s="57">
        <v>16690</v>
      </c>
      <c r="N23" s="57">
        <v>15053</v>
      </c>
      <c r="O23" s="57">
        <v>13987</v>
      </c>
      <c r="P23" s="57">
        <v>20435</v>
      </c>
      <c r="Q23" s="57">
        <v>16402</v>
      </c>
      <c r="R23" s="57">
        <v>16013</v>
      </c>
      <c r="S23" s="57">
        <v>15148</v>
      </c>
      <c r="T23" s="57">
        <v>15700</v>
      </c>
      <c r="U23" s="57">
        <v>17897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49"/>
      <c r="BA23" s="2"/>
      <c r="BB23" s="2"/>
      <c r="BC23" s="2"/>
      <c r="BD23" s="2"/>
      <c r="BE23" s="2"/>
      <c r="BF23" s="2"/>
      <c r="BG23" s="2"/>
      <c r="BH23" s="49"/>
    </row>
    <row r="24" spans="1:62" ht="12" customHeight="1" x14ac:dyDescent="0.3">
      <c r="A24" s="54" t="s">
        <v>224</v>
      </c>
      <c r="B24" s="55">
        <v>2346</v>
      </c>
      <c r="C24" s="55">
        <v>2961</v>
      </c>
      <c r="D24" s="55">
        <v>615</v>
      </c>
      <c r="E24" s="56">
        <v>0.26214833759590794</v>
      </c>
      <c r="F24" s="55">
        <v>615</v>
      </c>
      <c r="G24" s="56">
        <v>0.26214833759590794</v>
      </c>
      <c r="H24" s="57">
        <v>1117</v>
      </c>
      <c r="I24" s="57">
        <v>1229</v>
      </c>
      <c r="J24" s="57">
        <v>2511</v>
      </c>
      <c r="K24" s="57">
        <v>680</v>
      </c>
      <c r="L24" s="57">
        <v>2402.75</v>
      </c>
      <c r="M24" s="57">
        <v>2126</v>
      </c>
      <c r="N24" s="57">
        <v>1743</v>
      </c>
      <c r="O24" s="57">
        <v>1443</v>
      </c>
      <c r="P24" s="57">
        <v>2161</v>
      </c>
      <c r="Q24" s="57">
        <v>2063</v>
      </c>
      <c r="R24" s="57">
        <v>1698</v>
      </c>
      <c r="S24" s="57">
        <v>1502</v>
      </c>
      <c r="T24" s="57">
        <v>1497</v>
      </c>
      <c r="U24" s="57">
        <v>1464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49"/>
      <c r="BA24" s="2"/>
      <c r="BB24" s="2"/>
      <c r="BC24" s="2"/>
      <c r="BD24" s="2"/>
      <c r="BE24" s="2"/>
      <c r="BF24" s="2"/>
      <c r="BG24" s="2"/>
      <c r="BH24" s="49"/>
    </row>
    <row r="25" spans="1:62" ht="12" customHeight="1" x14ac:dyDescent="0.3">
      <c r="A25" s="54" t="s">
        <v>63</v>
      </c>
      <c r="B25" s="55">
        <v>16748</v>
      </c>
      <c r="C25" s="55">
        <v>19674</v>
      </c>
      <c r="D25" s="55">
        <v>2926</v>
      </c>
      <c r="E25" s="56">
        <v>0.17470742775256753</v>
      </c>
      <c r="F25" s="55">
        <v>2926</v>
      </c>
      <c r="G25" s="56">
        <v>0.17470742775256753</v>
      </c>
      <c r="H25" s="57">
        <v>9729</v>
      </c>
      <c r="I25" s="57">
        <v>7019</v>
      </c>
      <c r="J25" s="57">
        <v>21692</v>
      </c>
      <c r="K25" s="57">
        <v>10880</v>
      </c>
      <c r="L25" s="57">
        <v>10685</v>
      </c>
      <c r="M25" s="57">
        <v>13648</v>
      </c>
      <c r="N25" s="57">
        <v>12263</v>
      </c>
      <c r="O25" s="57">
        <v>7444</v>
      </c>
      <c r="P25" s="57">
        <v>15467</v>
      </c>
      <c r="Q25" s="57">
        <v>12250</v>
      </c>
      <c r="R25" s="57">
        <v>12815</v>
      </c>
      <c r="S25" s="57">
        <v>11598</v>
      </c>
      <c r="T25" s="57">
        <v>12465</v>
      </c>
      <c r="U25" s="57">
        <v>7209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49"/>
      <c r="BA25" s="2"/>
      <c r="BB25" s="2"/>
      <c r="BC25" s="2"/>
      <c r="BD25" s="2"/>
      <c r="BE25" s="2"/>
      <c r="BF25" s="2"/>
      <c r="BG25" s="2"/>
      <c r="BH25" s="49"/>
    </row>
    <row r="26" spans="1:62" ht="12" customHeight="1" x14ac:dyDescent="0.3">
      <c r="A26" s="54" t="s">
        <v>225</v>
      </c>
      <c r="B26" s="55">
        <v>32835</v>
      </c>
      <c r="C26" s="55">
        <v>46138</v>
      </c>
      <c r="D26" s="55">
        <v>13303</v>
      </c>
      <c r="E26" s="56">
        <v>0.40514694685548958</v>
      </c>
      <c r="F26" s="55">
        <v>13303</v>
      </c>
      <c r="G26" s="56">
        <v>0.40514694685548958</v>
      </c>
      <c r="H26" s="57">
        <v>9469</v>
      </c>
      <c r="I26" s="57">
        <v>23366</v>
      </c>
      <c r="J26" s="57">
        <v>60879</v>
      </c>
      <c r="K26" s="57">
        <v>14756</v>
      </c>
      <c r="L26" s="57">
        <v>29824</v>
      </c>
      <c r="M26" s="57">
        <v>47772</v>
      </c>
      <c r="N26" s="57">
        <v>18931</v>
      </c>
      <c r="O26" s="57">
        <v>33689</v>
      </c>
      <c r="P26" s="57">
        <v>34102</v>
      </c>
      <c r="Q26" s="57">
        <v>18224</v>
      </c>
      <c r="R26" s="57">
        <v>35963</v>
      </c>
      <c r="S26" s="57">
        <v>39351</v>
      </c>
      <c r="T26" s="57">
        <v>18213</v>
      </c>
      <c r="U26" s="57">
        <v>27925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49"/>
      <c r="BA26" s="2"/>
      <c r="BB26" s="2"/>
      <c r="BC26" s="2"/>
      <c r="BD26" s="2"/>
      <c r="BE26" s="2"/>
      <c r="BF26" s="2"/>
      <c r="BG26" s="2"/>
      <c r="BH26" s="49"/>
    </row>
    <row r="27" spans="1:62" ht="12" customHeight="1" x14ac:dyDescent="0.3">
      <c r="A27" s="54" t="s">
        <v>14</v>
      </c>
      <c r="B27" s="55">
        <v>35535</v>
      </c>
      <c r="C27" s="55">
        <v>44212</v>
      </c>
      <c r="D27" s="55">
        <v>8677</v>
      </c>
      <c r="E27" s="56">
        <v>0.24418179259884631</v>
      </c>
      <c r="F27" s="55">
        <v>8677</v>
      </c>
      <c r="G27" s="56">
        <v>0.24418179259884631</v>
      </c>
      <c r="H27" s="57">
        <v>19278</v>
      </c>
      <c r="I27" s="57">
        <v>16257</v>
      </c>
      <c r="J27" s="57">
        <v>34153</v>
      </c>
      <c r="K27" s="57">
        <v>29264</v>
      </c>
      <c r="L27" s="57">
        <v>25903</v>
      </c>
      <c r="M27" s="57">
        <v>34341</v>
      </c>
      <c r="N27" s="57">
        <v>26779</v>
      </c>
      <c r="O27" s="57">
        <v>21267</v>
      </c>
      <c r="P27" s="57">
        <v>38974</v>
      </c>
      <c r="Q27" s="57">
        <v>19606</v>
      </c>
      <c r="R27" s="57">
        <v>38284</v>
      </c>
      <c r="S27" s="57">
        <v>38696</v>
      </c>
      <c r="T27" s="57">
        <v>23033</v>
      </c>
      <c r="U27" s="57">
        <v>21179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49"/>
      <c r="BA27" s="2"/>
      <c r="BB27" s="2"/>
      <c r="BC27" s="2"/>
      <c r="BD27" s="2"/>
      <c r="BE27" s="2"/>
      <c r="BF27" s="2"/>
      <c r="BG27" s="2"/>
      <c r="BH27" s="49"/>
    </row>
    <row r="28" spans="1:62" ht="12" customHeight="1" x14ac:dyDescent="0.3">
      <c r="A28" s="54" t="s">
        <v>256</v>
      </c>
      <c r="B28" s="55">
        <v>3645</v>
      </c>
      <c r="C28" s="55">
        <v>16656</v>
      </c>
      <c r="D28" s="55">
        <v>13011</v>
      </c>
      <c r="E28" s="56">
        <v>3.5695473251028806</v>
      </c>
      <c r="F28" s="55">
        <v>13011</v>
      </c>
      <c r="G28" s="56">
        <v>3.5695473251028806</v>
      </c>
      <c r="H28" s="57">
        <v>20300</v>
      </c>
      <c r="I28" s="57">
        <v>-16655</v>
      </c>
      <c r="J28" s="57">
        <v>6731</v>
      </c>
      <c r="K28" s="57">
        <v>5037</v>
      </c>
      <c r="L28" s="57">
        <v>13966</v>
      </c>
      <c r="M28" s="57">
        <v>13233</v>
      </c>
      <c r="N28" s="57">
        <v>5463</v>
      </c>
      <c r="O28" s="57">
        <v>18813</v>
      </c>
      <c r="P28" s="57">
        <v>7969</v>
      </c>
      <c r="Q28" s="57">
        <v>19159</v>
      </c>
      <c r="R28" s="57">
        <v>19976</v>
      </c>
      <c r="S28" s="57">
        <v>0</v>
      </c>
      <c r="T28" s="57">
        <v>1014350</v>
      </c>
      <c r="U28" s="57">
        <v>7606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49"/>
      <c r="BA28" s="2"/>
      <c r="BB28" s="2"/>
      <c r="BC28" s="2"/>
      <c r="BD28" s="2"/>
      <c r="BE28" s="2"/>
      <c r="BF28" s="2"/>
      <c r="BG28" s="2"/>
      <c r="BH28" s="49"/>
    </row>
    <row r="29" spans="1:62" ht="12" customHeight="1" x14ac:dyDescent="0.3">
      <c r="A29" s="59" t="s">
        <v>68</v>
      </c>
      <c r="B29" s="60">
        <v>1812652</v>
      </c>
      <c r="C29" s="60">
        <v>2012031</v>
      </c>
      <c r="D29" s="61">
        <v>199379</v>
      </c>
      <c r="E29" s="62">
        <v>0.10999298265745439</v>
      </c>
      <c r="F29" s="61">
        <v>199379</v>
      </c>
      <c r="G29" s="62">
        <v>0.10999298265745439</v>
      </c>
      <c r="H29" s="60">
        <v>910977</v>
      </c>
      <c r="I29" s="60">
        <v>901675</v>
      </c>
      <c r="J29" s="60">
        <v>1420982</v>
      </c>
      <c r="K29" s="60">
        <v>965403</v>
      </c>
      <c r="L29" s="60">
        <v>1119473.75</v>
      </c>
      <c r="M29" s="60">
        <v>1263314</v>
      </c>
      <c r="N29" s="60">
        <v>1021506</v>
      </c>
      <c r="O29" s="60">
        <v>901989</v>
      </c>
      <c r="P29" s="60">
        <v>1173093</v>
      </c>
      <c r="Q29" s="60">
        <v>1038301</v>
      </c>
      <c r="R29" s="60">
        <v>1074119</v>
      </c>
      <c r="S29" s="60">
        <v>1065223</v>
      </c>
      <c r="T29" s="60">
        <v>1014350</v>
      </c>
      <c r="U29" s="60">
        <v>994882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49"/>
      <c r="BA29" s="2"/>
      <c r="BB29" s="2"/>
      <c r="BC29" s="2"/>
      <c r="BD29" s="2"/>
      <c r="BE29" s="2"/>
      <c r="BF29" s="2"/>
      <c r="BG29" s="2"/>
      <c r="BH29" s="49"/>
    </row>
    <row r="30" spans="1:62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 t="s">
        <v>0</v>
      </c>
      <c r="U30" s="2" t="s">
        <v>0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49"/>
      <c r="BA30" s="2"/>
      <c r="BB30" s="2"/>
      <c r="BC30" s="2"/>
      <c r="BD30" s="2"/>
      <c r="BE30" s="2"/>
      <c r="BF30" s="2"/>
      <c r="BG30" s="2"/>
      <c r="BH30" s="49"/>
    </row>
    <row r="31" spans="1:62" ht="12" customHeight="1" x14ac:dyDescent="0.25">
      <c r="A31" s="2"/>
      <c r="B31" s="2"/>
      <c r="C31" s="2"/>
      <c r="D31" s="2"/>
      <c r="E31" s="2" t="s">
        <v>0</v>
      </c>
      <c r="F31" s="2" t="s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0</v>
      </c>
      <c r="V31" s="2"/>
      <c r="W31" s="13"/>
      <c r="X31" s="2"/>
      <c r="Y31" s="2"/>
      <c r="Z31" s="2"/>
      <c r="AA31" s="2"/>
      <c r="AB31" s="2"/>
      <c r="AC31" s="2"/>
      <c r="AD31" s="2"/>
      <c r="AE31" s="3" t="s">
        <v>0</v>
      </c>
      <c r="AF31" s="3"/>
      <c r="AG31" s="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49"/>
    </row>
    <row r="32" spans="1:62" ht="9.9" customHeight="1" x14ac:dyDescent="0.25">
      <c r="A32" s="2"/>
      <c r="B32" s="2"/>
      <c r="C32" s="2"/>
      <c r="D32" s="2" t="s">
        <v>0</v>
      </c>
      <c r="E32" s="2" t="s">
        <v>0</v>
      </c>
      <c r="F32" s="2" t="s">
        <v>0</v>
      </c>
      <c r="G32" s="2" t="s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49"/>
    </row>
    <row r="33" spans="1:60" ht="9.9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49"/>
    </row>
    <row r="34" spans="1:60" ht="9.9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49"/>
    </row>
    <row r="35" spans="1:60" ht="9.9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49"/>
    </row>
    <row r="36" spans="1:60" ht="9.9" customHeight="1" x14ac:dyDescent="0.25">
      <c r="A36" s="49" t="s">
        <v>69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49"/>
    </row>
    <row r="37" spans="1:60" ht="97.95" customHeight="1" x14ac:dyDescent="0.25">
      <c r="A37" s="52" t="s">
        <v>41</v>
      </c>
      <c r="B37" s="80" t="s">
        <v>253</v>
      </c>
      <c r="C37" s="80" t="s">
        <v>257</v>
      </c>
      <c r="D37" s="80" t="s">
        <v>258</v>
      </c>
      <c r="E37" s="80" t="s">
        <v>259</v>
      </c>
      <c r="F37" s="80" t="s">
        <v>260</v>
      </c>
      <c r="G37" s="80" t="s">
        <v>262</v>
      </c>
      <c r="H37" s="80" t="s">
        <v>263</v>
      </c>
      <c r="I37" s="80" t="s">
        <v>264</v>
      </c>
      <c r="J37" s="80" t="s">
        <v>265</v>
      </c>
      <c r="K37" s="80" t="s">
        <v>266</v>
      </c>
      <c r="L37" s="80" t="s">
        <v>267</v>
      </c>
      <c r="M37" s="80" t="s">
        <v>268</v>
      </c>
      <c r="N37" s="2"/>
      <c r="O37" s="2"/>
      <c r="P37" s="2"/>
      <c r="Q37" s="2"/>
      <c r="R37" s="2"/>
      <c r="S37" s="2"/>
      <c r="T37" s="2"/>
      <c r="U37" s="2"/>
      <c r="V37" s="2"/>
      <c r="W37" s="1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49"/>
    </row>
    <row r="38" spans="1:60" ht="9.9" customHeight="1" x14ac:dyDescent="0.25">
      <c r="A38" s="54" t="s">
        <v>54</v>
      </c>
      <c r="B38" s="57">
        <v>205471</v>
      </c>
      <c r="C38" s="57">
        <v>192762</v>
      </c>
      <c r="D38" s="57">
        <v>255591</v>
      </c>
      <c r="E38" s="57">
        <v>199592</v>
      </c>
      <c r="F38" s="57">
        <v>238708</v>
      </c>
      <c r="G38" s="57">
        <v>254111</v>
      </c>
      <c r="H38" s="57">
        <v>232416</v>
      </c>
      <c r="I38" s="57">
        <v>194803</v>
      </c>
      <c r="J38" s="57">
        <v>251850</v>
      </c>
      <c r="K38" s="57">
        <v>230696</v>
      </c>
      <c r="L38" s="57">
        <v>254604</v>
      </c>
      <c r="M38" s="57">
        <v>273826</v>
      </c>
      <c r="N38" s="2"/>
      <c r="O38" s="2"/>
      <c r="P38" s="2"/>
      <c r="Q38" s="2"/>
      <c r="R38" s="2"/>
      <c r="S38" s="2"/>
      <c r="T38" s="2"/>
      <c r="U38" s="2"/>
      <c r="V38" s="2"/>
      <c r="W38" s="1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49"/>
    </row>
    <row r="39" spans="1:60" ht="9.9" customHeight="1" x14ac:dyDescent="0.25">
      <c r="A39" s="54" t="s">
        <v>251</v>
      </c>
      <c r="B39" s="57">
        <v>156336</v>
      </c>
      <c r="C39" s="57">
        <v>163674</v>
      </c>
      <c r="D39" s="57">
        <v>203537</v>
      </c>
      <c r="E39" s="57">
        <v>155287</v>
      </c>
      <c r="F39" s="57">
        <v>191572</v>
      </c>
      <c r="G39" s="57">
        <v>215650</v>
      </c>
      <c r="H39" s="57">
        <v>164669</v>
      </c>
      <c r="I39" s="57">
        <v>136332</v>
      </c>
      <c r="J39" s="57">
        <v>168408</v>
      </c>
      <c r="K39" s="57">
        <v>168348</v>
      </c>
      <c r="L39" s="57">
        <v>163893</v>
      </c>
      <c r="M39" s="57">
        <v>158527</v>
      </c>
      <c r="N39" s="2"/>
      <c r="O39" s="2"/>
      <c r="P39" s="2"/>
      <c r="Q39" s="2"/>
      <c r="R39" s="2"/>
      <c r="S39" s="2"/>
      <c r="T39" s="2"/>
      <c r="U39" s="2"/>
      <c r="V39" s="2"/>
      <c r="W39" s="1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49"/>
    </row>
    <row r="40" spans="1:60" ht="9.9" customHeight="1" x14ac:dyDescent="0.25">
      <c r="A40" s="54" t="s">
        <v>219</v>
      </c>
      <c r="B40" s="57">
        <v>96325</v>
      </c>
      <c r="C40" s="57">
        <v>89724</v>
      </c>
      <c r="D40" s="57">
        <v>128443</v>
      </c>
      <c r="E40" s="57">
        <v>95496</v>
      </c>
      <c r="F40" s="57">
        <v>105596</v>
      </c>
      <c r="G40" s="57">
        <v>153875</v>
      </c>
      <c r="H40" s="57">
        <v>104317</v>
      </c>
      <c r="I40" s="57">
        <v>81030</v>
      </c>
      <c r="J40" s="57">
        <v>126685</v>
      </c>
      <c r="K40" s="57">
        <v>106453</v>
      </c>
      <c r="L40" s="57">
        <v>122174</v>
      </c>
      <c r="M40" s="57">
        <v>147411</v>
      </c>
      <c r="N40" s="2"/>
      <c r="O40" s="2"/>
      <c r="P40" s="2"/>
      <c r="Q40" s="2"/>
      <c r="R40" s="2"/>
      <c r="S40" s="2"/>
      <c r="T40" s="2"/>
      <c r="U40" s="2"/>
      <c r="V40" s="2"/>
      <c r="W40" s="1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49"/>
    </row>
    <row r="41" spans="1:60" ht="9.9" customHeight="1" x14ac:dyDescent="0.25">
      <c r="A41" s="54" t="s">
        <v>58</v>
      </c>
      <c r="B41" s="57">
        <v>38180</v>
      </c>
      <c r="C41" s="57">
        <v>37796</v>
      </c>
      <c r="D41" s="57">
        <v>56064</v>
      </c>
      <c r="E41" s="57">
        <v>40754</v>
      </c>
      <c r="F41" s="57">
        <v>49303</v>
      </c>
      <c r="G41" s="57">
        <v>35789</v>
      </c>
      <c r="H41" s="57">
        <v>32978</v>
      </c>
      <c r="I41" s="57">
        <v>35904</v>
      </c>
      <c r="J41" s="57">
        <v>54905</v>
      </c>
      <c r="K41" s="57">
        <v>46954</v>
      </c>
      <c r="L41" s="57">
        <v>45594</v>
      </c>
      <c r="M41" s="57">
        <v>41822</v>
      </c>
      <c r="N41" s="2"/>
      <c r="O41" s="2"/>
      <c r="P41" s="2"/>
      <c r="Q41" s="2"/>
      <c r="R41" s="2"/>
      <c r="S41" s="2"/>
      <c r="T41" s="2"/>
      <c r="U41" s="2"/>
      <c r="V41" s="2"/>
      <c r="W41" s="1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49"/>
    </row>
    <row r="42" spans="1:60" ht="9.9" customHeight="1" x14ac:dyDescent="0.25">
      <c r="A42" s="54" t="s">
        <v>59</v>
      </c>
      <c r="B42" s="57">
        <v>19421</v>
      </c>
      <c r="C42" s="57">
        <v>19222</v>
      </c>
      <c r="D42" s="57">
        <v>27163</v>
      </c>
      <c r="E42" s="57">
        <v>18873</v>
      </c>
      <c r="F42" s="57">
        <v>19354</v>
      </c>
      <c r="G42" s="57">
        <v>15213</v>
      </c>
      <c r="H42" s="57">
        <v>16150</v>
      </c>
      <c r="I42" s="57">
        <v>10780</v>
      </c>
      <c r="J42" s="57">
        <v>19264</v>
      </c>
      <c r="K42" s="57">
        <v>52488</v>
      </c>
      <c r="L42" s="57">
        <v>15557</v>
      </c>
      <c r="M42" s="57">
        <v>34135</v>
      </c>
      <c r="N42" s="2"/>
      <c r="O42" s="2"/>
      <c r="P42" s="2"/>
      <c r="Q42" s="2"/>
      <c r="R42" s="2"/>
      <c r="S42" s="2"/>
      <c r="T42" s="2"/>
      <c r="U42" s="2"/>
      <c r="V42" s="2"/>
      <c r="W42" s="1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49"/>
    </row>
    <row r="43" spans="1:60" ht="9.9" customHeight="1" x14ac:dyDescent="0.25">
      <c r="A43" s="54" t="s">
        <v>255</v>
      </c>
      <c r="B43" s="57">
        <v>47280</v>
      </c>
      <c r="C43" s="57">
        <v>47998</v>
      </c>
      <c r="D43" s="57">
        <v>69507</v>
      </c>
      <c r="E43" s="57">
        <v>50417</v>
      </c>
      <c r="F43" s="57">
        <v>54524</v>
      </c>
      <c r="G43" s="57">
        <v>58663</v>
      </c>
      <c r="H43" s="57">
        <v>49047</v>
      </c>
      <c r="I43" s="57">
        <v>43303</v>
      </c>
      <c r="J43" s="57">
        <v>58627</v>
      </c>
      <c r="K43" s="57">
        <v>50407</v>
      </c>
      <c r="L43" s="57">
        <v>57741</v>
      </c>
      <c r="M43" s="57">
        <v>69634</v>
      </c>
      <c r="N43" s="2"/>
      <c r="O43" s="2"/>
      <c r="P43" s="2"/>
      <c r="Q43" s="2"/>
      <c r="R43" s="2"/>
      <c r="S43" s="2"/>
      <c r="T43" s="2"/>
      <c r="U43" s="2"/>
      <c r="V43" s="2"/>
      <c r="W43" s="1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49"/>
    </row>
    <row r="44" spans="1:60" ht="9.9" customHeight="1" x14ac:dyDescent="0.25">
      <c r="A44" s="54" t="s">
        <v>61</v>
      </c>
      <c r="B44" s="57">
        <v>61934</v>
      </c>
      <c r="C44" s="57">
        <v>59556</v>
      </c>
      <c r="D44" s="57">
        <v>80230</v>
      </c>
      <c r="E44" s="57">
        <v>63478</v>
      </c>
      <c r="F44" s="57">
        <v>67943</v>
      </c>
      <c r="G44" s="57">
        <v>72310</v>
      </c>
      <c r="H44" s="57">
        <v>60192</v>
      </c>
      <c r="I44" s="57">
        <v>63863</v>
      </c>
      <c r="J44" s="57">
        <v>60239</v>
      </c>
      <c r="K44" s="57">
        <v>64948</v>
      </c>
      <c r="L44" s="57">
        <v>77955</v>
      </c>
      <c r="M44" s="57">
        <v>85424</v>
      </c>
      <c r="N44" s="2"/>
      <c r="O44" s="2"/>
      <c r="P44" s="2"/>
      <c r="Q44" s="2"/>
      <c r="R44" s="2"/>
      <c r="S44" s="2"/>
      <c r="T44" s="2"/>
      <c r="U44" s="2"/>
      <c r="V44" s="2"/>
      <c r="W44" s="1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49"/>
    </row>
    <row r="45" spans="1:60" ht="9.9" customHeight="1" x14ac:dyDescent="0.25">
      <c r="A45" s="54" t="s">
        <v>62</v>
      </c>
      <c r="B45" s="57">
        <v>80789</v>
      </c>
      <c r="C45" s="57">
        <v>80158</v>
      </c>
      <c r="D45" s="57">
        <v>110238</v>
      </c>
      <c r="E45" s="57">
        <v>88847</v>
      </c>
      <c r="F45" s="57">
        <v>96566</v>
      </c>
      <c r="G45" s="57">
        <v>101606</v>
      </c>
      <c r="H45" s="57">
        <v>91980</v>
      </c>
      <c r="I45" s="57">
        <v>72565</v>
      </c>
      <c r="J45" s="57">
        <v>100617</v>
      </c>
      <c r="K45" s="57">
        <v>81805</v>
      </c>
      <c r="L45" s="57">
        <v>83524</v>
      </c>
      <c r="M45" s="57">
        <v>74268</v>
      </c>
      <c r="N45" s="2"/>
      <c r="O45" s="2"/>
      <c r="P45" s="2"/>
      <c r="Q45" s="2"/>
      <c r="R45" s="2"/>
      <c r="S45" s="2"/>
      <c r="T45" s="2"/>
      <c r="U45" s="2"/>
      <c r="V45" s="2"/>
      <c r="W45" s="1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49"/>
    </row>
    <row r="46" spans="1:60" ht="9.9" customHeight="1" x14ac:dyDescent="0.25">
      <c r="A46" s="54" t="s">
        <v>220</v>
      </c>
      <c r="B46" s="57">
        <v>67674</v>
      </c>
      <c r="C46" s="57">
        <v>54904</v>
      </c>
      <c r="D46" s="57">
        <v>73791</v>
      </c>
      <c r="E46" s="57">
        <v>60618</v>
      </c>
      <c r="F46" s="57">
        <v>68265</v>
      </c>
      <c r="G46" s="57">
        <v>73472</v>
      </c>
      <c r="H46" s="57">
        <v>67410</v>
      </c>
      <c r="I46" s="57">
        <v>55280</v>
      </c>
      <c r="J46" s="57">
        <v>73822</v>
      </c>
      <c r="K46" s="57">
        <v>68563</v>
      </c>
      <c r="L46" s="57">
        <v>74349</v>
      </c>
      <c r="M46" s="57">
        <v>68983</v>
      </c>
      <c r="N46" s="2"/>
      <c r="O46" s="2"/>
      <c r="P46" s="2"/>
      <c r="Q46" s="2"/>
      <c r="R46" s="2"/>
      <c r="S46" s="2"/>
      <c r="T46" s="2"/>
      <c r="U46" s="2"/>
      <c r="V46" s="2"/>
      <c r="W46" s="1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49"/>
    </row>
    <row r="47" spans="1:60" ht="9.9" customHeight="1" x14ac:dyDescent="0.25">
      <c r="A47" s="54" t="s">
        <v>221</v>
      </c>
      <c r="B47" s="57">
        <v>5464</v>
      </c>
      <c r="C47" s="57">
        <v>5709</v>
      </c>
      <c r="D47" s="57">
        <v>7377</v>
      </c>
      <c r="E47" s="57">
        <v>7164</v>
      </c>
      <c r="F47" s="57">
        <v>6282</v>
      </c>
      <c r="G47" s="57">
        <v>5133</v>
      </c>
      <c r="H47" s="57">
        <v>4206</v>
      </c>
      <c r="I47" s="57">
        <v>3615</v>
      </c>
      <c r="J47" s="57">
        <v>7720</v>
      </c>
      <c r="K47" s="57">
        <v>5842</v>
      </c>
      <c r="L47" s="57">
        <v>5212</v>
      </c>
      <c r="M47" s="57">
        <v>3436</v>
      </c>
      <c r="N47" s="2"/>
      <c r="O47" s="2"/>
      <c r="P47" s="2"/>
      <c r="Q47" s="2"/>
      <c r="R47" s="2"/>
      <c r="S47" s="2"/>
      <c r="T47" s="2"/>
      <c r="U47" s="2"/>
      <c r="V47" s="2"/>
      <c r="W47" s="1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49"/>
    </row>
    <row r="48" spans="1:60" ht="9.9" customHeight="1" x14ac:dyDescent="0.25">
      <c r="A48" s="54" t="s">
        <v>222</v>
      </c>
      <c r="B48" s="57">
        <v>10512</v>
      </c>
      <c r="C48" s="57">
        <v>9718</v>
      </c>
      <c r="D48" s="57">
        <v>16782</v>
      </c>
      <c r="E48" s="57">
        <v>10062</v>
      </c>
      <c r="F48" s="57">
        <v>8717</v>
      </c>
      <c r="G48" s="57">
        <v>9509</v>
      </c>
      <c r="H48" s="57">
        <v>7123</v>
      </c>
      <c r="I48" s="57">
        <v>9831</v>
      </c>
      <c r="J48" s="57">
        <v>18077</v>
      </c>
      <c r="K48" s="57">
        <v>13180</v>
      </c>
      <c r="L48" s="57">
        <v>12353</v>
      </c>
      <c r="M48" s="57">
        <v>14460</v>
      </c>
      <c r="N48" s="2"/>
      <c r="O48" s="2"/>
      <c r="P48" s="2"/>
      <c r="Q48" s="2"/>
      <c r="R48" s="2"/>
      <c r="S48" s="2"/>
      <c r="T48" s="2"/>
      <c r="U48" s="2"/>
      <c r="V48" s="2"/>
      <c r="W48" s="1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49"/>
    </row>
    <row r="49" spans="1:121" ht="9.9" customHeight="1" x14ac:dyDescent="0.25">
      <c r="A49" s="54" t="s">
        <v>223</v>
      </c>
      <c r="B49" s="57">
        <v>9228</v>
      </c>
      <c r="C49" s="57">
        <v>8913</v>
      </c>
      <c r="D49" s="57">
        <v>13496</v>
      </c>
      <c r="E49" s="57">
        <v>7832</v>
      </c>
      <c r="F49" s="57">
        <v>8887</v>
      </c>
      <c r="G49" s="57">
        <v>9828</v>
      </c>
      <c r="H49" s="57">
        <v>8982</v>
      </c>
      <c r="I49" s="57">
        <v>6871</v>
      </c>
      <c r="J49" s="57">
        <v>11578</v>
      </c>
      <c r="K49" s="57">
        <v>7845</v>
      </c>
      <c r="L49" s="57">
        <v>10093</v>
      </c>
      <c r="M49" s="57">
        <v>9649</v>
      </c>
      <c r="N49" s="2"/>
      <c r="O49" s="2"/>
      <c r="P49" s="2"/>
      <c r="Q49" s="2"/>
      <c r="R49" s="2"/>
      <c r="S49" s="2"/>
      <c r="T49" s="2"/>
      <c r="U49" s="2"/>
      <c r="V49" s="2"/>
      <c r="W49" s="1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49"/>
    </row>
    <row r="50" spans="1:121" ht="9.9" customHeight="1" x14ac:dyDescent="0.25">
      <c r="A50" s="54" t="s">
        <v>224</v>
      </c>
      <c r="B50" s="57">
        <v>1067</v>
      </c>
      <c r="C50" s="57">
        <v>1296</v>
      </c>
      <c r="D50" s="57">
        <v>1598</v>
      </c>
      <c r="E50" s="57">
        <v>1283</v>
      </c>
      <c r="F50" s="57">
        <v>1009</v>
      </c>
      <c r="G50" s="57">
        <v>1158</v>
      </c>
      <c r="H50" s="57">
        <v>84</v>
      </c>
      <c r="I50" s="57">
        <v>1658</v>
      </c>
      <c r="J50" s="57">
        <v>1262</v>
      </c>
      <c r="K50" s="57">
        <v>1300</v>
      </c>
      <c r="L50" s="57">
        <v>1565</v>
      </c>
      <c r="M50" s="57">
        <v>606</v>
      </c>
      <c r="N50" s="2"/>
      <c r="O50" s="2"/>
      <c r="P50" s="2"/>
      <c r="Q50" s="2"/>
      <c r="R50" s="2"/>
      <c r="S50" s="2"/>
      <c r="T50" s="2"/>
      <c r="U50" s="2"/>
      <c r="V50" s="2"/>
      <c r="W50" s="1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49"/>
    </row>
    <row r="51" spans="1:121" ht="9.9" customHeight="1" x14ac:dyDescent="0.25">
      <c r="A51" s="54" t="s">
        <v>63</v>
      </c>
      <c r="B51" s="57">
        <v>7629</v>
      </c>
      <c r="C51" s="57">
        <v>5039</v>
      </c>
      <c r="D51" s="57">
        <v>13947</v>
      </c>
      <c r="E51" s="57">
        <v>13258</v>
      </c>
      <c r="F51" s="57">
        <v>9683</v>
      </c>
      <c r="G51" s="57">
        <v>11819</v>
      </c>
      <c r="H51" s="57">
        <v>12365</v>
      </c>
      <c r="I51" s="57">
        <v>6644</v>
      </c>
      <c r="J51" s="57">
        <v>12727</v>
      </c>
      <c r="K51" s="57">
        <v>8463</v>
      </c>
      <c r="L51" s="57">
        <v>9275</v>
      </c>
      <c r="M51" s="57">
        <v>8813</v>
      </c>
      <c r="N51" s="2"/>
      <c r="O51" s="2"/>
      <c r="P51" s="2"/>
      <c r="Q51" s="2"/>
      <c r="R51" s="2"/>
      <c r="S51" s="2"/>
      <c r="T51" s="2"/>
      <c r="U51" s="2"/>
      <c r="V51" s="2"/>
      <c r="W51" s="1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49"/>
    </row>
    <row r="52" spans="1:121" ht="9.9" customHeight="1" x14ac:dyDescent="0.25">
      <c r="A52" s="54" t="s">
        <v>225</v>
      </c>
      <c r="B52" s="57">
        <v>716</v>
      </c>
      <c r="C52" s="57">
        <v>15928</v>
      </c>
      <c r="D52" s="57">
        <v>42253</v>
      </c>
      <c r="E52" s="57">
        <v>1933</v>
      </c>
      <c r="F52" s="57">
        <v>1528</v>
      </c>
      <c r="G52" s="57">
        <v>19743</v>
      </c>
      <c r="H52" s="57">
        <v>7017</v>
      </c>
      <c r="I52" s="57">
        <v>10090</v>
      </c>
      <c r="J52" s="57">
        <v>42208</v>
      </c>
      <c r="K52" s="57">
        <v>6482</v>
      </c>
      <c r="L52" s="57">
        <v>31556</v>
      </c>
      <c r="M52" s="57">
        <v>58227</v>
      </c>
      <c r="N52" s="2"/>
      <c r="O52" s="2"/>
      <c r="P52" s="2"/>
      <c r="Q52" s="2"/>
      <c r="R52" s="2"/>
      <c r="S52" s="2"/>
      <c r="T52" s="2"/>
      <c r="U52" s="2"/>
      <c r="V52" s="2"/>
      <c r="W52" s="1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49"/>
    </row>
    <row r="53" spans="1:121" ht="9.9" customHeight="1" x14ac:dyDescent="0.25">
      <c r="A53" s="54" t="s">
        <v>14</v>
      </c>
      <c r="B53" s="57">
        <v>9252</v>
      </c>
      <c r="C53" s="57">
        <v>6103</v>
      </c>
      <c r="D53" s="57">
        <v>21844</v>
      </c>
      <c r="E53" s="57">
        <v>12356</v>
      </c>
      <c r="F53" s="57">
        <v>12314</v>
      </c>
      <c r="G53" s="57">
        <v>9479</v>
      </c>
      <c r="H53" s="57">
        <v>18435</v>
      </c>
      <c r="I53" s="57">
        <v>9375</v>
      </c>
      <c r="J53" s="57">
        <v>22685</v>
      </c>
      <c r="K53" s="57">
        <v>15533</v>
      </c>
      <c r="L53" s="57">
        <v>41124</v>
      </c>
      <c r="M53" s="57">
        <v>20335</v>
      </c>
      <c r="N53" s="2"/>
      <c r="O53" s="2"/>
      <c r="P53" s="2"/>
      <c r="Q53" s="2"/>
      <c r="R53" s="2"/>
      <c r="S53" s="2"/>
      <c r="T53" s="2"/>
      <c r="U53" s="2"/>
      <c r="V53" s="2"/>
      <c r="W53" s="1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49"/>
    </row>
    <row r="54" spans="1:121" ht="9.9" customHeight="1" x14ac:dyDescent="0.25">
      <c r="A54" s="54" t="s">
        <v>256</v>
      </c>
      <c r="B54" s="57">
        <v>4401</v>
      </c>
      <c r="C54" s="57">
        <v>6210</v>
      </c>
      <c r="D54" s="57">
        <v>3749</v>
      </c>
      <c r="E54" s="57">
        <v>1935</v>
      </c>
      <c r="F54" s="57">
        <v>5747</v>
      </c>
      <c r="G54" s="57">
        <v>16128</v>
      </c>
      <c r="H54" s="57">
        <v>-4630</v>
      </c>
      <c r="I54" s="57">
        <v>6742</v>
      </c>
      <c r="J54" s="57">
        <v>17892</v>
      </c>
      <c r="K54" s="57">
        <v>-19839</v>
      </c>
      <c r="L54" s="57">
        <v>17017</v>
      </c>
      <c r="M54" s="57">
        <v>21291</v>
      </c>
      <c r="N54" s="2"/>
      <c r="O54" s="2"/>
      <c r="P54" s="2"/>
      <c r="Q54" s="2"/>
      <c r="R54" s="2"/>
      <c r="S54" s="2"/>
      <c r="T54" s="2"/>
      <c r="U54" s="2"/>
      <c r="V54" s="2"/>
      <c r="W54" s="1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49"/>
    </row>
    <row r="55" spans="1:121" ht="9.9" customHeight="1" x14ac:dyDescent="0.25">
      <c r="A55" s="59" t="s">
        <v>68</v>
      </c>
      <c r="B55" s="60">
        <v>821679</v>
      </c>
      <c r="C55" s="60">
        <v>804710</v>
      </c>
      <c r="D55" s="60">
        <v>1125610</v>
      </c>
      <c r="E55" s="60">
        <v>829185</v>
      </c>
      <c r="F55" s="60">
        <v>945998</v>
      </c>
      <c r="G55" s="60">
        <v>1063486</v>
      </c>
      <c r="H55" s="60">
        <v>872741</v>
      </c>
      <c r="I55" s="60">
        <v>748686</v>
      </c>
      <c r="J55" s="60">
        <v>1048566</v>
      </c>
      <c r="K55" s="60">
        <v>909468</v>
      </c>
      <c r="L55" s="60">
        <v>1023586</v>
      </c>
      <c r="M55" s="60">
        <v>1090847</v>
      </c>
      <c r="N55" s="2"/>
      <c r="O55" s="2"/>
      <c r="P55" s="2"/>
      <c r="Q55" s="2"/>
      <c r="R55" s="2"/>
      <c r="S55" s="2"/>
      <c r="T55" s="2"/>
      <c r="U55" s="2"/>
      <c r="V55" s="2"/>
      <c r="W55" s="1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9"/>
    </row>
    <row r="56" spans="1:121" ht="9.9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49"/>
    </row>
    <row r="57" spans="1:121" ht="9.9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0</v>
      </c>
      <c r="AP57" s="2"/>
      <c r="AQ57" s="2" t="s">
        <v>0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49"/>
    </row>
    <row r="58" spans="1:121" ht="93.6" x14ac:dyDescent="0.25">
      <c r="A58" s="52" t="s">
        <v>41</v>
      </c>
      <c r="B58" s="53" t="s">
        <v>103</v>
      </c>
      <c r="C58" s="53" t="s">
        <v>104</v>
      </c>
      <c r="D58" s="53" t="s">
        <v>105</v>
      </c>
      <c r="E58" s="53" t="s">
        <v>106</v>
      </c>
      <c r="F58" s="53" t="s">
        <v>109</v>
      </c>
      <c r="G58" s="53" t="s">
        <v>110</v>
      </c>
      <c r="H58" s="53" t="s">
        <v>111</v>
      </c>
      <c r="I58" s="53" t="s">
        <v>112</v>
      </c>
      <c r="J58" s="53" t="s">
        <v>113</v>
      </c>
      <c r="K58" s="53" t="s">
        <v>114</v>
      </c>
      <c r="L58" s="53" t="s">
        <v>115</v>
      </c>
      <c r="M58" s="53" t="s">
        <v>116</v>
      </c>
      <c r="N58" s="53" t="s">
        <v>117</v>
      </c>
      <c r="O58" s="53" t="s">
        <v>118</v>
      </c>
      <c r="P58" s="53" t="s">
        <v>119</v>
      </c>
      <c r="Q58" s="53" t="s">
        <v>120</v>
      </c>
      <c r="R58" s="53" t="s">
        <v>121</v>
      </c>
      <c r="S58" s="53" t="s">
        <v>122</v>
      </c>
      <c r="T58" s="53" t="s">
        <v>123</v>
      </c>
      <c r="U58" s="53" t="s">
        <v>124</v>
      </c>
      <c r="V58" s="53" t="s">
        <v>125</v>
      </c>
      <c r="W58" s="53" t="s">
        <v>126</v>
      </c>
      <c r="X58" s="53" t="s">
        <v>127</v>
      </c>
      <c r="Y58" s="53" t="s">
        <v>128</v>
      </c>
      <c r="Z58" s="53" t="s">
        <v>129</v>
      </c>
      <c r="AA58" s="53" t="s">
        <v>130</v>
      </c>
      <c r="AB58" s="53" t="s">
        <v>131</v>
      </c>
      <c r="AC58" s="53" t="s">
        <v>132</v>
      </c>
      <c r="AD58" s="53" t="s">
        <v>133</v>
      </c>
      <c r="AE58" s="53" t="s">
        <v>134</v>
      </c>
      <c r="AF58" s="53" t="s">
        <v>136</v>
      </c>
      <c r="AG58" s="53" t="s">
        <v>137</v>
      </c>
      <c r="AH58" s="53" t="s">
        <v>141</v>
      </c>
      <c r="AI58" s="53" t="s">
        <v>154</v>
      </c>
      <c r="AJ58" s="53" t="s">
        <v>156</v>
      </c>
      <c r="AK58" s="53" t="s">
        <v>158</v>
      </c>
      <c r="AL58" s="53" t="s">
        <v>159</v>
      </c>
      <c r="AM58" s="53" t="s">
        <v>161</v>
      </c>
      <c r="AN58" s="53" t="s">
        <v>162</v>
      </c>
      <c r="AO58" s="53" t="s">
        <v>163</v>
      </c>
      <c r="AP58" s="53" t="s">
        <v>164</v>
      </c>
      <c r="AQ58" s="53" t="s">
        <v>165</v>
      </c>
      <c r="AR58" s="53" t="s">
        <v>166</v>
      </c>
      <c r="AS58" s="53" t="s">
        <v>167</v>
      </c>
      <c r="AT58" s="53" t="s">
        <v>168</v>
      </c>
      <c r="AU58" s="53" t="s">
        <v>169</v>
      </c>
      <c r="AV58" s="80" t="s">
        <v>170</v>
      </c>
      <c r="AW58" s="80" t="s">
        <v>172</v>
      </c>
      <c r="AX58" s="80" t="s">
        <v>173</v>
      </c>
      <c r="AY58" s="80" t="s">
        <v>174</v>
      </c>
      <c r="AZ58" s="80" t="s">
        <v>175</v>
      </c>
      <c r="BA58" s="80" t="s">
        <v>176</v>
      </c>
      <c r="BB58" s="80" t="s">
        <v>177</v>
      </c>
      <c r="BC58" s="80" t="s">
        <v>178</v>
      </c>
      <c r="BD58" s="80" t="s">
        <v>179</v>
      </c>
      <c r="BE58" s="80" t="s">
        <v>180</v>
      </c>
      <c r="BF58" s="80" t="s">
        <v>181</v>
      </c>
      <c r="BG58" s="80" t="s">
        <v>182</v>
      </c>
      <c r="BH58" s="53" t="s">
        <v>183</v>
      </c>
      <c r="BI58" s="53" t="s">
        <v>184</v>
      </c>
      <c r="BJ58" s="53" t="s">
        <v>185</v>
      </c>
      <c r="BK58" s="53" t="s">
        <v>186</v>
      </c>
      <c r="BL58" s="53" t="s">
        <v>187</v>
      </c>
      <c r="BM58" s="53" t="s">
        <v>188</v>
      </c>
      <c r="BN58" s="53" t="s">
        <v>189</v>
      </c>
      <c r="BO58" s="53" t="s">
        <v>190</v>
      </c>
      <c r="BP58" s="53" t="s">
        <v>191</v>
      </c>
      <c r="BQ58" s="53" t="s">
        <v>192</v>
      </c>
      <c r="BR58" s="53" t="s">
        <v>193</v>
      </c>
      <c r="BS58" s="53" t="s">
        <v>194</v>
      </c>
      <c r="BT58" s="53" t="s">
        <v>195</v>
      </c>
      <c r="BU58" s="53" t="s">
        <v>196</v>
      </c>
      <c r="BV58" s="53" t="s">
        <v>197</v>
      </c>
      <c r="BW58" s="53" t="s">
        <v>198</v>
      </c>
      <c r="BX58" s="53" t="s">
        <v>199</v>
      </c>
      <c r="BY58" s="53" t="s">
        <v>200</v>
      </c>
      <c r="BZ58" s="53" t="s">
        <v>201</v>
      </c>
      <c r="CA58" s="53" t="s">
        <v>202</v>
      </c>
      <c r="CB58" s="53" t="s">
        <v>203</v>
      </c>
      <c r="CC58" s="53" t="s">
        <v>204</v>
      </c>
      <c r="CD58" s="53" t="s">
        <v>205</v>
      </c>
      <c r="CE58" s="53" t="s">
        <v>206</v>
      </c>
      <c r="CG58" s="52" t="s">
        <v>41</v>
      </c>
      <c r="CH58" s="80" t="s">
        <v>207</v>
      </c>
      <c r="CI58" s="80" t="s">
        <v>208</v>
      </c>
      <c r="CJ58" s="80" t="s">
        <v>209</v>
      </c>
      <c r="CK58" s="80" t="s">
        <v>210</v>
      </c>
      <c r="CL58" s="80" t="s">
        <v>211</v>
      </c>
      <c r="CM58" s="80" t="s">
        <v>212</v>
      </c>
      <c r="CN58" s="80" t="s">
        <v>213</v>
      </c>
      <c r="CO58" s="80" t="s">
        <v>214</v>
      </c>
      <c r="CP58" s="80" t="s">
        <v>215</v>
      </c>
      <c r="CQ58" s="80" t="s">
        <v>216</v>
      </c>
      <c r="CR58" s="80" t="s">
        <v>217</v>
      </c>
      <c r="CS58" s="80" t="s">
        <v>218</v>
      </c>
      <c r="CT58" s="80" t="s">
        <v>226</v>
      </c>
      <c r="CU58" s="80" t="s">
        <v>227</v>
      </c>
      <c r="CV58" s="80" t="s">
        <v>228</v>
      </c>
      <c r="CW58" s="80" t="s">
        <v>229</v>
      </c>
      <c r="CX58" s="80" t="s">
        <v>230</v>
      </c>
      <c r="CY58" s="80" t="s">
        <v>231</v>
      </c>
      <c r="CZ58" s="80" t="s">
        <v>232</v>
      </c>
      <c r="DA58" s="80" t="s">
        <v>233</v>
      </c>
      <c r="DB58" s="80" t="s">
        <v>234</v>
      </c>
      <c r="DC58" s="80" t="s">
        <v>235</v>
      </c>
      <c r="DD58" s="80" t="s">
        <v>236</v>
      </c>
      <c r="DE58" s="80" t="s">
        <v>237</v>
      </c>
      <c r="DF58" s="80" t="s">
        <v>239</v>
      </c>
      <c r="DG58" s="80" t="s">
        <v>240</v>
      </c>
      <c r="DH58" s="80" t="s">
        <v>241</v>
      </c>
      <c r="DI58" s="80" t="s">
        <v>242</v>
      </c>
      <c r="DJ58" s="80" t="s">
        <v>243</v>
      </c>
      <c r="DK58" s="80" t="s">
        <v>244</v>
      </c>
      <c r="DL58" s="80" t="s">
        <v>245</v>
      </c>
      <c r="DM58" s="80" t="s">
        <v>246</v>
      </c>
      <c r="DN58" s="80" t="s">
        <v>247</v>
      </c>
      <c r="DO58" s="80" t="s">
        <v>248</v>
      </c>
      <c r="DP58" s="80" t="s">
        <v>249</v>
      </c>
      <c r="DQ58" s="80" t="s">
        <v>250</v>
      </c>
    </row>
    <row r="59" spans="1:121" ht="12" customHeight="1" x14ac:dyDescent="0.25">
      <c r="A59" s="54" t="s">
        <v>54</v>
      </c>
      <c r="B59" s="57">
        <v>240532</v>
      </c>
      <c r="C59" s="57">
        <v>221018</v>
      </c>
      <c r="D59" s="57">
        <v>351282</v>
      </c>
      <c r="E59" s="57">
        <v>261331</v>
      </c>
      <c r="F59" s="57">
        <v>248206</v>
      </c>
      <c r="G59" s="57">
        <v>201508</v>
      </c>
      <c r="H59" s="57">
        <v>264905</v>
      </c>
      <c r="I59" s="57">
        <v>249597</v>
      </c>
      <c r="J59" s="57">
        <v>244553</v>
      </c>
      <c r="K59" s="57">
        <f>200298-3610</f>
        <v>196688</v>
      </c>
      <c r="L59" s="57">
        <v>224370</v>
      </c>
      <c r="M59" s="57">
        <v>205200</v>
      </c>
      <c r="N59" s="57">
        <v>321770</v>
      </c>
      <c r="O59" s="57">
        <v>286071</v>
      </c>
      <c r="P59" s="57">
        <v>275598</v>
      </c>
      <c r="Q59" s="57">
        <v>285759</v>
      </c>
      <c r="R59" s="57">
        <v>258780</v>
      </c>
      <c r="S59" s="57">
        <v>180095</v>
      </c>
      <c r="T59" s="57">
        <v>283685</v>
      </c>
      <c r="U59" s="57">
        <v>266462</v>
      </c>
      <c r="V59" s="57">
        <v>256707</v>
      </c>
      <c r="W59" s="57">
        <v>240871</v>
      </c>
      <c r="X59" s="57">
        <v>245450</v>
      </c>
      <c r="Y59" s="57">
        <v>221152</v>
      </c>
      <c r="Z59" s="57">
        <v>346650</v>
      </c>
      <c r="AA59" s="57">
        <v>301687</v>
      </c>
      <c r="AB59" s="57">
        <v>301699</v>
      </c>
      <c r="AC59" s="57">
        <v>295095</v>
      </c>
      <c r="AD59" s="57">
        <v>291956</v>
      </c>
      <c r="AE59" s="57">
        <v>196855</v>
      </c>
      <c r="AF59" s="57">
        <v>299371</v>
      </c>
      <c r="AG59" s="57">
        <v>292537</v>
      </c>
      <c r="AH59" s="57">
        <v>265767</v>
      </c>
      <c r="AI59" s="57">
        <v>249862</v>
      </c>
      <c r="AJ59" s="57">
        <v>262664</v>
      </c>
      <c r="AK59" s="57">
        <v>243378</v>
      </c>
      <c r="AL59" s="57">
        <v>380649</v>
      </c>
      <c r="AM59" s="57">
        <v>315800</v>
      </c>
      <c r="AN59" s="57">
        <v>296651</v>
      </c>
      <c r="AO59" s="57">
        <v>345122</v>
      </c>
      <c r="AP59" s="57">
        <v>315122</v>
      </c>
      <c r="AQ59" s="57">
        <v>208385</v>
      </c>
      <c r="AR59" s="57">
        <v>326062</v>
      </c>
      <c r="AS59" s="57">
        <v>287147</v>
      </c>
      <c r="AT59" s="57">
        <v>275772</v>
      </c>
      <c r="AU59" s="57">
        <v>261829</v>
      </c>
      <c r="AV59" s="57">
        <v>265458</v>
      </c>
      <c r="AW59" s="57">
        <v>263410</v>
      </c>
      <c r="AX59" s="57">
        <v>389572</v>
      </c>
      <c r="AY59" s="57">
        <v>333958</v>
      </c>
      <c r="AZ59" s="57">
        <v>321434</v>
      </c>
      <c r="BA59" s="57">
        <v>348625</v>
      </c>
      <c r="BB59" s="57">
        <v>286433</v>
      </c>
      <c r="BC59" s="57">
        <v>222263</v>
      </c>
      <c r="BD59" s="57">
        <v>343947</v>
      </c>
      <c r="BE59" s="57">
        <v>284828</v>
      </c>
      <c r="BF59" s="57">
        <v>294822</v>
      </c>
      <c r="BG59" s="57">
        <v>281701</v>
      </c>
      <c r="BH59" s="57">
        <v>290428</v>
      </c>
      <c r="BI59" s="57">
        <v>256772</v>
      </c>
      <c r="BJ59" s="57">
        <v>415743</v>
      </c>
      <c r="BK59" s="57">
        <v>305177</v>
      </c>
      <c r="BL59" s="57">
        <v>349301</v>
      </c>
      <c r="BM59" s="57">
        <v>358980</v>
      </c>
      <c r="BN59" s="57">
        <v>291626</v>
      </c>
      <c r="BO59" s="57">
        <v>229005</v>
      </c>
      <c r="BP59" s="57">
        <v>340226</v>
      </c>
      <c r="BQ59" s="57">
        <v>297988</v>
      </c>
      <c r="BR59" s="57">
        <v>310556</v>
      </c>
      <c r="BS59" s="57">
        <v>266782</v>
      </c>
      <c r="BT59" s="57">
        <v>316368</v>
      </c>
      <c r="BU59" s="57">
        <v>281217</v>
      </c>
      <c r="BV59" s="57">
        <v>415172</v>
      </c>
      <c r="BW59" s="57">
        <v>345606</v>
      </c>
      <c r="BX59" s="57">
        <v>363594</v>
      </c>
      <c r="BY59" s="57">
        <v>403625</v>
      </c>
      <c r="BZ59" s="57">
        <v>360630</v>
      </c>
      <c r="CA59" s="57">
        <v>318543</v>
      </c>
      <c r="CB59" s="57">
        <v>178775</v>
      </c>
      <c r="CC59" s="57">
        <v>231329</v>
      </c>
      <c r="CD59" s="57">
        <v>272468</v>
      </c>
      <c r="CE59" s="57">
        <v>241103</v>
      </c>
      <c r="CG59" s="54" t="s">
        <v>54</v>
      </c>
      <c r="CH59" s="57">
        <v>296166</v>
      </c>
      <c r="CI59" s="57">
        <v>280157</v>
      </c>
      <c r="CJ59" s="57">
        <v>411357</v>
      </c>
      <c r="CK59" s="57">
        <v>334771</v>
      </c>
      <c r="CL59" s="57">
        <v>356631</v>
      </c>
      <c r="CM59" s="57">
        <v>367068</v>
      </c>
      <c r="CN59" s="57">
        <v>352784</v>
      </c>
      <c r="CO59" s="57">
        <v>295172</v>
      </c>
      <c r="CP59" s="57">
        <v>259639</v>
      </c>
      <c r="CQ59" s="57">
        <v>303267</v>
      </c>
      <c r="CR59" s="57">
        <v>312074</v>
      </c>
      <c r="CS59" s="57">
        <v>291972</v>
      </c>
      <c r="CT59" s="57">
        <v>297046</v>
      </c>
      <c r="CU59" s="57">
        <v>269103</v>
      </c>
      <c r="CV59" s="57">
        <v>232815</v>
      </c>
      <c r="CW59" s="57">
        <v>84142</v>
      </c>
      <c r="CX59" s="57">
        <v>156461</v>
      </c>
      <c r="CY59" s="57">
        <v>272727</v>
      </c>
      <c r="CZ59" s="57">
        <v>339229</v>
      </c>
      <c r="DA59" s="57">
        <v>225135</v>
      </c>
      <c r="DB59" s="57">
        <v>291920</v>
      </c>
      <c r="DC59" s="57">
        <v>282534</v>
      </c>
      <c r="DD59" s="57">
        <v>269408</v>
      </c>
      <c r="DE59" s="57">
        <v>314442</v>
      </c>
      <c r="DF59" s="57">
        <v>214042</v>
      </c>
      <c r="DG59" s="57">
        <v>216652</v>
      </c>
      <c r="DH59" s="57">
        <v>339820</v>
      </c>
      <c r="DI59" s="57">
        <v>278761</v>
      </c>
      <c r="DJ59" s="57">
        <v>301091</v>
      </c>
      <c r="DK59" s="57">
        <v>345702</v>
      </c>
      <c r="DL59" s="57">
        <v>267768</v>
      </c>
      <c r="DM59" s="57">
        <v>192373</v>
      </c>
      <c r="DN59" s="57">
        <v>212235</v>
      </c>
      <c r="DO59" s="57">
        <v>164126</v>
      </c>
      <c r="DP59" s="57">
        <v>185005</v>
      </c>
      <c r="DQ59" s="57">
        <v>222159</v>
      </c>
    </row>
    <row r="60" spans="1:121" ht="12" customHeight="1" x14ac:dyDescent="0.25">
      <c r="A60" s="54" t="s">
        <v>55</v>
      </c>
      <c r="B60" s="57">
        <v>124240</v>
      </c>
      <c r="C60" s="57">
        <v>119386</v>
      </c>
      <c r="D60" s="57">
        <v>165166</v>
      </c>
      <c r="E60" s="57">
        <v>132310</v>
      </c>
      <c r="F60" s="57">
        <v>116606</v>
      </c>
      <c r="G60" s="57">
        <v>81471</v>
      </c>
      <c r="H60" s="57">
        <v>121852</v>
      </c>
      <c r="I60" s="57">
        <v>121099</v>
      </c>
      <c r="J60" s="57">
        <v>105322</v>
      </c>
      <c r="K60" s="57">
        <v>91496</v>
      </c>
      <c r="L60" s="57">
        <v>104291</v>
      </c>
      <c r="M60" s="57">
        <v>102683</v>
      </c>
      <c r="N60" s="57">
        <v>138284</v>
      </c>
      <c r="O60" s="57">
        <v>118909</v>
      </c>
      <c r="P60" s="57">
        <v>117911</v>
      </c>
      <c r="Q60" s="57">
        <v>134661</v>
      </c>
      <c r="R60" s="57">
        <v>115728</v>
      </c>
      <c r="S60" s="57">
        <v>66950</v>
      </c>
      <c r="T60" s="57">
        <v>118232</v>
      </c>
      <c r="U60" s="57">
        <v>120665</v>
      </c>
      <c r="V60" s="57">
        <v>104131</v>
      </c>
      <c r="W60" s="57">
        <v>99616</v>
      </c>
      <c r="X60" s="57">
        <v>111633</v>
      </c>
      <c r="Y60" s="57">
        <v>106429</v>
      </c>
      <c r="Z60" s="57">
        <v>153101</v>
      </c>
      <c r="AA60" s="57">
        <v>125080</v>
      </c>
      <c r="AB60" s="57">
        <v>122900</v>
      </c>
      <c r="AC60" s="57">
        <v>134409</v>
      </c>
      <c r="AD60" s="57">
        <v>114161</v>
      </c>
      <c r="AE60" s="57">
        <v>67882</v>
      </c>
      <c r="AF60" s="57">
        <v>129797</v>
      </c>
      <c r="AG60" s="57">
        <v>121562</v>
      </c>
      <c r="AH60" s="57">
        <v>101067</v>
      </c>
      <c r="AI60" s="57">
        <v>102814</v>
      </c>
      <c r="AJ60" s="57">
        <v>110030</v>
      </c>
      <c r="AK60" s="57">
        <v>108162</v>
      </c>
      <c r="AL60" s="57">
        <v>167377</v>
      </c>
      <c r="AM60" s="57">
        <v>129683</v>
      </c>
      <c r="AN60" s="57">
        <v>117097</v>
      </c>
      <c r="AO60" s="57">
        <v>152286</v>
      </c>
      <c r="AP60" s="57">
        <v>125839</v>
      </c>
      <c r="AQ60" s="57">
        <v>74560</v>
      </c>
      <c r="AR60" s="57">
        <v>136847</v>
      </c>
      <c r="AS60" s="57">
        <v>120275</v>
      </c>
      <c r="AT60" s="57">
        <v>114389</v>
      </c>
      <c r="AU60" s="57">
        <v>124463</v>
      </c>
      <c r="AV60" s="57">
        <v>114352</v>
      </c>
      <c r="AW60" s="57">
        <v>121761</v>
      </c>
      <c r="AX60" s="57">
        <v>169878</v>
      </c>
      <c r="AY60" s="57">
        <v>136219</v>
      </c>
      <c r="AZ60" s="57">
        <v>137709</v>
      </c>
      <c r="BA60" s="57">
        <v>150929</v>
      </c>
      <c r="BB60" s="57">
        <v>109499</v>
      </c>
      <c r="BC60" s="57">
        <v>76487</v>
      </c>
      <c r="BD60" s="57">
        <v>129190</v>
      </c>
      <c r="BE60" s="57">
        <v>111395</v>
      </c>
      <c r="BF60" s="57">
        <v>109395</v>
      </c>
      <c r="BG60" s="57">
        <v>106113</v>
      </c>
      <c r="BH60" s="57">
        <v>121892</v>
      </c>
      <c r="BI60" s="57">
        <f>49412+68395</f>
        <v>117807</v>
      </c>
      <c r="BJ60" s="57">
        <f>311425-130445</f>
        <v>180980</v>
      </c>
      <c r="BK60" s="57">
        <v>197924</v>
      </c>
      <c r="BL60" s="57">
        <v>230630</v>
      </c>
      <c r="BM60" s="57">
        <v>251129</v>
      </c>
      <c r="BN60" s="57">
        <v>188218</v>
      </c>
      <c r="BO60" s="57">
        <v>138404</v>
      </c>
      <c r="BP60" s="57">
        <v>219731</v>
      </c>
      <c r="BQ60" s="57">
        <v>193313</v>
      </c>
      <c r="BR60" s="57">
        <v>200217</v>
      </c>
      <c r="BS60" s="57">
        <v>170435</v>
      </c>
      <c r="BT60" s="57">
        <v>211097</v>
      </c>
      <c r="BU60" s="57">
        <v>191958</v>
      </c>
      <c r="BV60" s="57">
        <v>294413</v>
      </c>
      <c r="BW60" s="57">
        <v>216154</v>
      </c>
      <c r="BX60" s="57">
        <v>227142</v>
      </c>
      <c r="BY60" s="57">
        <v>259285</v>
      </c>
      <c r="BZ60" s="57">
        <v>199612</v>
      </c>
      <c r="CA60" s="57">
        <v>160185</v>
      </c>
      <c r="CB60" s="57">
        <v>201808</v>
      </c>
      <c r="CC60" s="57">
        <v>189689</v>
      </c>
      <c r="CD60" s="57">
        <v>187838</v>
      </c>
      <c r="CE60" s="57">
        <v>160341</v>
      </c>
      <c r="CG60" s="54" t="s">
        <v>55</v>
      </c>
      <c r="CH60" s="57">
        <v>206521</v>
      </c>
      <c r="CI60" s="57">
        <v>198284</v>
      </c>
      <c r="CJ60" s="57">
        <v>284618</v>
      </c>
      <c r="CK60" s="57">
        <v>218634</v>
      </c>
      <c r="CL60" s="57">
        <v>236941</v>
      </c>
      <c r="CM60" s="57">
        <v>238163</v>
      </c>
      <c r="CN60" s="57">
        <v>212556</v>
      </c>
      <c r="CO60" s="57">
        <v>151934</v>
      </c>
      <c r="CP60" s="57">
        <v>209015</v>
      </c>
      <c r="CQ60" s="57">
        <v>181371</v>
      </c>
      <c r="CR60" s="57">
        <v>173109</v>
      </c>
      <c r="CS60" s="57">
        <v>156112</v>
      </c>
      <c r="CT60" s="57">
        <v>177826</v>
      </c>
      <c r="CU60" s="57">
        <v>181441</v>
      </c>
      <c r="CV60" s="57">
        <v>94194</v>
      </c>
      <c r="CW60" s="57">
        <v>38683</v>
      </c>
      <c r="CX60" s="57">
        <v>95270</v>
      </c>
      <c r="CY60" s="57">
        <v>167555</v>
      </c>
      <c r="CZ60" s="57">
        <v>178052</v>
      </c>
      <c r="DA60" s="57">
        <v>123143</v>
      </c>
      <c r="DB60" s="57">
        <v>179524</v>
      </c>
      <c r="DC60" s="57">
        <v>171646</v>
      </c>
      <c r="DD60" s="57">
        <v>152266</v>
      </c>
      <c r="DE60" s="57">
        <v>159056</v>
      </c>
      <c r="DF60" s="57">
        <v>178230</v>
      </c>
      <c r="DG60" s="57">
        <v>199114</v>
      </c>
      <c r="DH60" s="57">
        <v>291295</v>
      </c>
      <c r="DI60" s="57">
        <v>225344</v>
      </c>
      <c r="DJ60" s="57">
        <v>224179</v>
      </c>
      <c r="DK60" s="57">
        <v>258197</v>
      </c>
      <c r="DL60" s="57">
        <v>181910</v>
      </c>
      <c r="DM60" s="57">
        <v>123640</v>
      </c>
      <c r="DN60" s="57">
        <v>177770</v>
      </c>
      <c r="DO60" s="57">
        <v>165475</v>
      </c>
      <c r="DP60" s="57">
        <v>171597</v>
      </c>
      <c r="DQ60" s="57">
        <v>177020</v>
      </c>
    </row>
    <row r="61" spans="1:121" ht="12" customHeight="1" x14ac:dyDescent="0.25">
      <c r="A61" s="54" t="s">
        <v>13</v>
      </c>
      <c r="B61" s="57">
        <v>127535</v>
      </c>
      <c r="C61" s="57">
        <f>76671+31674</f>
        <v>108345</v>
      </c>
      <c r="D61" s="57">
        <v>213158</v>
      </c>
      <c r="E61" s="57">
        <v>114056</v>
      </c>
      <c r="F61" s="57">
        <v>135961</v>
      </c>
      <c r="G61" s="57">
        <v>85868</v>
      </c>
      <c r="H61" s="57">
        <v>158263</v>
      </c>
      <c r="I61" s="57">
        <v>114492</v>
      </c>
      <c r="J61" s="57">
        <f>77018+31727</f>
        <v>108745</v>
      </c>
      <c r="K61" s="57">
        <f>72758+28263</f>
        <v>101021</v>
      </c>
      <c r="L61" s="57">
        <f>84324+34151</f>
        <v>118475</v>
      </c>
      <c r="M61" s="57">
        <f>73302+29371</f>
        <v>102673</v>
      </c>
      <c r="N61" s="57">
        <f>131409+57808</f>
        <v>189217</v>
      </c>
      <c r="O61" s="57">
        <f>91933+31802</f>
        <v>123735</v>
      </c>
      <c r="P61" s="57">
        <f>90964+34711</f>
        <v>125675</v>
      </c>
      <c r="Q61" s="57">
        <f>94833+38986</f>
        <v>133819</v>
      </c>
      <c r="R61" s="57">
        <v>124924</v>
      </c>
      <c r="S61" s="57">
        <v>89225</v>
      </c>
      <c r="T61" s="57">
        <v>160809</v>
      </c>
      <c r="U61" s="57">
        <v>94243</v>
      </c>
      <c r="V61" s="57">
        <v>119283</v>
      </c>
      <c r="W61" s="57">
        <v>121197</v>
      </c>
      <c r="X61" s="57">
        <f>96050+32813</f>
        <v>128863</v>
      </c>
      <c r="Y61" s="57">
        <f>84726+30708</f>
        <v>115434</v>
      </c>
      <c r="Z61" s="57">
        <f>145006+66422</f>
        <v>211428</v>
      </c>
      <c r="AA61" s="57">
        <f>95677+43942</f>
        <v>139619</v>
      </c>
      <c r="AB61" s="57">
        <f>96245+38709</f>
        <v>134954</v>
      </c>
      <c r="AC61" s="57">
        <f>102496+43051</f>
        <v>145547</v>
      </c>
      <c r="AD61" s="57">
        <f>102287+38783</f>
        <v>141070</v>
      </c>
      <c r="AE61" s="57">
        <f>67081+21587</f>
        <v>88668</v>
      </c>
      <c r="AF61" s="57">
        <f>131208+50979</f>
        <v>182187</v>
      </c>
      <c r="AG61" s="57">
        <f>109218+41712</f>
        <v>150930</v>
      </c>
      <c r="AH61" s="57">
        <f>87105+36778</f>
        <v>123883</v>
      </c>
      <c r="AI61" s="57">
        <f>84762+37557</f>
        <v>122319</v>
      </c>
      <c r="AJ61" s="57">
        <v>142409</v>
      </c>
      <c r="AK61" s="57">
        <v>126427</v>
      </c>
      <c r="AL61" s="57">
        <v>247902</v>
      </c>
      <c r="AM61" s="57">
        <v>141762</v>
      </c>
      <c r="AN61" s="57">
        <v>135632</v>
      </c>
      <c r="AO61" s="57">
        <v>169528</v>
      </c>
      <c r="AP61" s="57">
        <v>147198</v>
      </c>
      <c r="AQ61" s="57">
        <v>101989</v>
      </c>
      <c r="AR61" s="57">
        <v>208838</v>
      </c>
      <c r="AS61" s="57">
        <f>107060+40481</f>
        <v>147541</v>
      </c>
      <c r="AT61" s="57">
        <f>103855+38849</f>
        <v>142704</v>
      </c>
      <c r="AU61" s="57">
        <f>106475+40837</f>
        <v>147312</v>
      </c>
      <c r="AV61" s="57">
        <f>111358+42183</f>
        <v>153541</v>
      </c>
      <c r="AW61" s="57">
        <f>98912+39897</f>
        <v>138809</v>
      </c>
      <c r="AX61" s="57">
        <f>174313+78721</f>
        <v>253034</v>
      </c>
      <c r="AY61" s="57">
        <f>113436+42046</f>
        <v>155482</v>
      </c>
      <c r="AZ61" s="57">
        <f>116107+45009</f>
        <v>161116</v>
      </c>
      <c r="BA61" s="57">
        <f>129459+51812</f>
        <v>181271</v>
      </c>
      <c r="BB61" s="57">
        <f>107880+41052</f>
        <v>148932</v>
      </c>
      <c r="BC61" s="57">
        <f>84494+25739</f>
        <v>110233</v>
      </c>
      <c r="BD61" s="57">
        <v>212097</v>
      </c>
      <c r="BE61" s="57">
        <f>104564+40527</f>
        <v>145091</v>
      </c>
      <c r="BF61" s="57">
        <f>106997+39729</f>
        <v>146726</v>
      </c>
      <c r="BG61" s="57">
        <f>108706+41766</f>
        <v>150472</v>
      </c>
      <c r="BH61" s="57">
        <f>122489+43767</f>
        <v>166256</v>
      </c>
      <c r="BI61" s="57">
        <f>100600+41655+7379</f>
        <v>149634</v>
      </c>
      <c r="BJ61" s="57">
        <f>164302+92639+14648</f>
        <v>271589</v>
      </c>
      <c r="BK61" s="57">
        <v>158522</v>
      </c>
      <c r="BL61" s="57">
        <f>116813+57685</f>
        <v>174498</v>
      </c>
      <c r="BM61" s="57">
        <f>127431+54921+11237</f>
        <v>193589</v>
      </c>
      <c r="BN61" s="57">
        <f>106572+50312</f>
        <v>156884</v>
      </c>
      <c r="BO61" s="57">
        <v>126489</v>
      </c>
      <c r="BP61" s="57">
        <f>141281+64050+9962</f>
        <v>215293</v>
      </c>
      <c r="BQ61" s="57">
        <f>110747+38620+8395</f>
        <v>157762</v>
      </c>
      <c r="BR61" s="57">
        <f>100396+37642+8801</f>
        <v>146839</v>
      </c>
      <c r="BS61" s="57">
        <v>134767</v>
      </c>
      <c r="BT61" s="57">
        <v>118066</v>
      </c>
      <c r="BU61" s="57">
        <v>101750</v>
      </c>
      <c r="BV61" s="57">
        <v>156192</v>
      </c>
      <c r="BW61" s="57">
        <v>114222</v>
      </c>
      <c r="BX61" s="57">
        <v>124225</v>
      </c>
      <c r="BY61" s="57">
        <v>129485</v>
      </c>
      <c r="BZ61" s="57">
        <v>122836</v>
      </c>
      <c r="CA61" s="57">
        <v>100844</v>
      </c>
      <c r="CB61" s="57">
        <v>132650</v>
      </c>
      <c r="CC61" s="57">
        <v>109733</v>
      </c>
      <c r="CD61" s="57">
        <v>113092</v>
      </c>
      <c r="CE61" s="57">
        <v>117214</v>
      </c>
      <c r="CG61" s="54" t="s">
        <v>219</v>
      </c>
      <c r="CH61" s="57">
        <v>160642</v>
      </c>
      <c r="CI61" s="57">
        <v>162798</v>
      </c>
      <c r="CJ61" s="57">
        <v>256524</v>
      </c>
      <c r="CK61" s="57">
        <v>188703</v>
      </c>
      <c r="CL61" s="57">
        <v>203278</v>
      </c>
      <c r="CM61" s="57">
        <v>236364</v>
      </c>
      <c r="CN61" s="57">
        <v>163024</v>
      </c>
      <c r="CO61" s="57">
        <v>144293</v>
      </c>
      <c r="CP61" s="57">
        <v>167414</v>
      </c>
      <c r="CQ61" s="57">
        <v>160682</v>
      </c>
      <c r="CR61" s="57">
        <v>159275</v>
      </c>
      <c r="CS61" s="57">
        <v>189273</v>
      </c>
      <c r="CT61" s="57">
        <v>141120</v>
      </c>
      <c r="CU61" s="57">
        <v>143567</v>
      </c>
      <c r="CV61" s="57">
        <v>102924</v>
      </c>
      <c r="CW61" s="57">
        <v>37221</v>
      </c>
      <c r="CX61" s="57">
        <v>89238</v>
      </c>
      <c r="CY61" s="57">
        <v>190969</v>
      </c>
      <c r="CZ61" s="57">
        <v>178247</v>
      </c>
      <c r="DA61" s="57">
        <v>115615</v>
      </c>
      <c r="DB61" s="57">
        <v>172764</v>
      </c>
      <c r="DC61" s="57">
        <v>150093</v>
      </c>
      <c r="DD61" s="57">
        <v>134790</v>
      </c>
      <c r="DE61" s="57">
        <v>163015</v>
      </c>
      <c r="DF61" s="57">
        <v>101206</v>
      </c>
      <c r="DG61" s="57">
        <v>97333</v>
      </c>
      <c r="DH61" s="57">
        <v>155761</v>
      </c>
      <c r="DI61" s="57">
        <v>110226</v>
      </c>
      <c r="DJ61" s="57">
        <v>114965</v>
      </c>
      <c r="DK61" s="57">
        <v>156406</v>
      </c>
      <c r="DL61" s="57">
        <v>106295</v>
      </c>
      <c r="DM61" s="57">
        <v>86694</v>
      </c>
      <c r="DN61" s="57">
        <v>126717</v>
      </c>
      <c r="DO61" s="57">
        <v>104419</v>
      </c>
      <c r="DP61" s="57">
        <v>117453</v>
      </c>
      <c r="DQ61" s="57">
        <v>138666</v>
      </c>
    </row>
    <row r="62" spans="1:121" ht="12" customHeight="1" x14ac:dyDescent="0.25">
      <c r="A62" s="54" t="s">
        <v>56</v>
      </c>
      <c r="B62" s="57">
        <v>73376</v>
      </c>
      <c r="C62" s="57">
        <v>74151</v>
      </c>
      <c r="D62" s="57">
        <v>130069</v>
      </c>
      <c r="E62" s="57">
        <v>85290</v>
      </c>
      <c r="F62" s="57">
        <v>74986</v>
      </c>
      <c r="G62" s="57">
        <v>53457</v>
      </c>
      <c r="H62" s="57">
        <v>95176</v>
      </c>
      <c r="I62" s="57">
        <v>70341</v>
      </c>
      <c r="J62" s="57">
        <v>75604</v>
      </c>
      <c r="K62" s="57">
        <v>64165</v>
      </c>
      <c r="L62" s="57">
        <v>69969</v>
      </c>
      <c r="M62" s="57">
        <v>59113</v>
      </c>
      <c r="N62" s="57">
        <v>112776</v>
      </c>
      <c r="O62" s="57">
        <v>83257</v>
      </c>
      <c r="P62" s="57">
        <v>88378</v>
      </c>
      <c r="Q62" s="57">
        <v>97523</v>
      </c>
      <c r="R62" s="57">
        <v>82517</v>
      </c>
      <c r="S62" s="57">
        <v>53962</v>
      </c>
      <c r="T62" s="57">
        <v>100212</v>
      </c>
      <c r="U62" s="57">
        <v>75171</v>
      </c>
      <c r="V62" s="57">
        <v>72689</v>
      </c>
      <c r="W62" s="57">
        <v>72770</v>
      </c>
      <c r="X62" s="57">
        <v>66279</v>
      </c>
      <c r="Y62" s="57">
        <v>66304</v>
      </c>
      <c r="Z62" s="57">
        <v>120649</v>
      </c>
      <c r="AA62" s="57">
        <v>76461</v>
      </c>
      <c r="AB62" s="57">
        <v>83319</v>
      </c>
      <c r="AC62" s="57">
        <v>95491</v>
      </c>
      <c r="AD62" s="57">
        <v>73163</v>
      </c>
      <c r="AE62" s="57">
        <v>46495</v>
      </c>
      <c r="AF62" s="57">
        <v>93067</v>
      </c>
      <c r="AG62" s="57">
        <v>70966</v>
      </c>
      <c r="AH62" s="57">
        <v>64044</v>
      </c>
      <c r="AI62" s="57">
        <v>68326</v>
      </c>
      <c r="AJ62" s="57">
        <v>63945</v>
      </c>
      <c r="AK62" s="57">
        <v>60388</v>
      </c>
      <c r="AL62" s="57">
        <v>119035</v>
      </c>
      <c r="AM62" s="57">
        <v>77446</v>
      </c>
      <c r="AN62" s="57">
        <v>79039</v>
      </c>
      <c r="AO62" s="57">
        <v>102502</v>
      </c>
      <c r="AP62" s="57">
        <v>75106</v>
      </c>
      <c r="AQ62" s="57">
        <v>52089</v>
      </c>
      <c r="AR62" s="57">
        <v>99846</v>
      </c>
      <c r="AS62" s="57">
        <v>68762</v>
      </c>
      <c r="AT62" s="57">
        <v>75647</v>
      </c>
      <c r="AU62" s="57">
        <v>71844</v>
      </c>
      <c r="AV62" s="57">
        <v>71661</v>
      </c>
      <c r="AW62" s="57">
        <v>71210</v>
      </c>
      <c r="AX62" s="57">
        <v>126238</v>
      </c>
      <c r="AY62" s="57">
        <v>82875</v>
      </c>
      <c r="AZ62" s="57">
        <v>87598</v>
      </c>
      <c r="BA62" s="57">
        <v>102419</v>
      </c>
      <c r="BB62" s="57">
        <v>76959</v>
      </c>
      <c r="BC62" s="57">
        <v>54840</v>
      </c>
      <c r="BD62" s="57">
        <v>104171</v>
      </c>
      <c r="BE62" s="57">
        <v>70521</v>
      </c>
      <c r="BF62" s="57">
        <v>74539</v>
      </c>
      <c r="BG62" s="57">
        <v>73052</v>
      </c>
      <c r="BH62" s="57">
        <v>75376</v>
      </c>
      <c r="BI62" s="57">
        <v>70055</v>
      </c>
      <c r="BJ62" s="57">
        <v>130445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</v>
      </c>
      <c r="BR62" s="57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G62" s="54" t="s">
        <v>157</v>
      </c>
      <c r="CH62" s="57">
        <v>72086</v>
      </c>
      <c r="CI62" s="57">
        <v>79794</v>
      </c>
      <c r="CJ62" s="57">
        <v>106208</v>
      </c>
      <c r="CK62" s="57">
        <v>88235</v>
      </c>
      <c r="CL62" s="57">
        <v>100793</v>
      </c>
      <c r="CM62" s="57">
        <v>89697</v>
      </c>
      <c r="CN62" s="57">
        <v>75824</v>
      </c>
      <c r="CO62" s="57">
        <v>53734</v>
      </c>
      <c r="CP62" s="57">
        <v>69130</v>
      </c>
      <c r="CQ62" s="57">
        <v>67635</v>
      </c>
      <c r="CR62" s="57">
        <v>67424</v>
      </c>
      <c r="CS62" s="57">
        <v>68994</v>
      </c>
      <c r="CT62" s="57">
        <v>67681</v>
      </c>
      <c r="CU62" s="57">
        <v>74601</v>
      </c>
      <c r="CV62" s="57">
        <v>27164</v>
      </c>
      <c r="CW62" s="57">
        <v>10907</v>
      </c>
      <c r="CX62" s="57">
        <v>43945</v>
      </c>
      <c r="CY62" s="57">
        <v>64566</v>
      </c>
      <c r="CZ62" s="57">
        <v>70699</v>
      </c>
      <c r="DA62" s="57">
        <v>60132</v>
      </c>
      <c r="DB62" s="57">
        <v>77478</v>
      </c>
      <c r="DC62" s="57">
        <v>69695</v>
      </c>
      <c r="DD62" s="57">
        <v>64792</v>
      </c>
      <c r="DE62" s="57">
        <v>74391</v>
      </c>
      <c r="DF62" s="57">
        <v>45185</v>
      </c>
      <c r="DG62" s="57">
        <v>43717</v>
      </c>
      <c r="DH62" s="57">
        <v>68947</v>
      </c>
      <c r="DI62" s="57">
        <v>50872</v>
      </c>
      <c r="DJ62" s="57">
        <v>48931</v>
      </c>
      <c r="DK62" s="57">
        <v>50717</v>
      </c>
      <c r="DL62" s="57">
        <v>53259</v>
      </c>
      <c r="DM62" s="57">
        <v>21867</v>
      </c>
      <c r="DN62" s="57">
        <v>42392</v>
      </c>
      <c r="DO62" s="57">
        <v>34419</v>
      </c>
      <c r="DP62" s="57">
        <v>31231</v>
      </c>
      <c r="DQ62" s="57">
        <v>35433</v>
      </c>
    </row>
    <row r="63" spans="1:121" ht="12" customHeight="1" x14ac:dyDescent="0.25">
      <c r="A63" s="54" t="s">
        <v>171</v>
      </c>
      <c r="B63" s="57">
        <v>82724</v>
      </c>
      <c r="C63" s="57">
        <f>68704+17670</f>
        <v>86374</v>
      </c>
      <c r="D63" s="57">
        <v>112871</v>
      </c>
      <c r="E63" s="57">
        <v>89671</v>
      </c>
      <c r="F63" s="57">
        <v>83896</v>
      </c>
      <c r="G63" s="57">
        <v>61723</v>
      </c>
      <c r="H63" s="57">
        <v>78368</v>
      </c>
      <c r="I63" s="57">
        <v>86560</v>
      </c>
      <c r="J63" s="57">
        <f>63593+19212</f>
        <v>82805</v>
      </c>
      <c r="K63" s="57">
        <f>56670+19657</f>
        <v>76327</v>
      </c>
      <c r="L63" s="57">
        <f>111725-34151</f>
        <v>77574</v>
      </c>
      <c r="M63" s="57">
        <f>58395+20363</f>
        <v>78758</v>
      </c>
      <c r="N63" s="57">
        <f>78124+23855</f>
        <v>101979</v>
      </c>
      <c r="O63" s="57">
        <f>69114+25264</f>
        <v>94378</v>
      </c>
      <c r="P63" s="57">
        <f>61437+25243</f>
        <v>86680</v>
      </c>
      <c r="Q63" s="57">
        <v>116098</v>
      </c>
      <c r="R63" s="57">
        <v>92076</v>
      </c>
      <c r="S63" s="57">
        <v>65514</v>
      </c>
      <c r="T63" s="57">
        <v>94925</v>
      </c>
      <c r="U63" s="57">
        <v>135251</v>
      </c>
      <c r="V63" s="57">
        <v>90144</v>
      </c>
      <c r="W63" s="57">
        <v>99043</v>
      </c>
      <c r="X63" s="57">
        <f>59155+28519</f>
        <v>87674</v>
      </c>
      <c r="Y63" s="57">
        <f>60669+27273</f>
        <v>87942</v>
      </c>
      <c r="Z63" s="57">
        <f>198414-66422</f>
        <v>131992</v>
      </c>
      <c r="AA63" s="57">
        <f>72979+31042</f>
        <v>104021</v>
      </c>
      <c r="AB63" s="57">
        <f>71504+31342</f>
        <v>102846</v>
      </c>
      <c r="AC63" s="57">
        <f>105319+38197</f>
        <v>143516</v>
      </c>
      <c r="AD63" s="57">
        <f>139939-38783</f>
        <v>101156</v>
      </c>
      <c r="AE63" s="57">
        <f>41370+21908</f>
        <v>63278</v>
      </c>
      <c r="AF63" s="57">
        <f>78535+26081</f>
        <v>104616</v>
      </c>
      <c r="AG63" s="57">
        <f>150241-41712</f>
        <v>108529</v>
      </c>
      <c r="AH63" s="57">
        <f>66099+27604</f>
        <v>93703</v>
      </c>
      <c r="AI63" s="57">
        <f>140818-37557</f>
        <v>103261</v>
      </c>
      <c r="AJ63" s="57">
        <v>96852</v>
      </c>
      <c r="AK63" s="57">
        <v>96807</v>
      </c>
      <c r="AL63" s="57">
        <v>146242</v>
      </c>
      <c r="AM63" s="57">
        <v>126622</v>
      </c>
      <c r="AN63" s="57">
        <v>108593</v>
      </c>
      <c r="AO63" s="57">
        <v>151229</v>
      </c>
      <c r="AP63" s="57">
        <v>102822</v>
      </c>
      <c r="AQ63" s="57">
        <v>69711</v>
      </c>
      <c r="AR63" s="57">
        <v>110169</v>
      </c>
      <c r="AS63" s="57">
        <f>78857+29850</f>
        <v>108707</v>
      </c>
      <c r="AT63" s="57">
        <f>78916+29319</f>
        <v>108235</v>
      </c>
      <c r="AU63" s="57">
        <f>97480+34929</f>
        <v>132409</v>
      </c>
      <c r="AV63" s="57">
        <f>67187+30740</f>
        <v>97927</v>
      </c>
      <c r="AW63" s="57">
        <f>76992+29650</f>
        <v>106642</v>
      </c>
      <c r="AX63" s="57">
        <f>118770+40693</f>
        <v>159463</v>
      </c>
      <c r="AY63" s="57">
        <f>175473-42046</f>
        <v>133427</v>
      </c>
      <c r="AZ63" s="57">
        <f>102143+37056</f>
        <v>139199</v>
      </c>
      <c r="BA63" s="57">
        <f>233298-51812</f>
        <v>181486</v>
      </c>
      <c r="BB63" s="57">
        <f>151552-41052</f>
        <v>110500</v>
      </c>
      <c r="BC63" s="57">
        <f>105651-25739</f>
        <v>79912</v>
      </c>
      <c r="BD63" s="57">
        <v>131031</v>
      </c>
      <c r="BE63" s="57">
        <f>77141+29281</f>
        <v>106422</v>
      </c>
      <c r="BF63" s="57">
        <f>94586+31617</f>
        <v>126203</v>
      </c>
      <c r="BG63" s="57">
        <f>192183-41766</f>
        <v>150417</v>
      </c>
      <c r="BH63" s="57">
        <v>107791</v>
      </c>
      <c r="BI63" s="57">
        <f>81262+33155</f>
        <v>114417</v>
      </c>
      <c r="BJ63" s="57">
        <f>138277+44221</f>
        <v>182498</v>
      </c>
      <c r="BK63" s="57">
        <v>129823</v>
      </c>
      <c r="BL63" s="57">
        <v>153820</v>
      </c>
      <c r="BM63" s="57">
        <f>135600+51606</f>
        <v>187206</v>
      </c>
      <c r="BN63" s="57">
        <v>118305</v>
      </c>
      <c r="BO63" s="57">
        <v>90316</v>
      </c>
      <c r="BP63" s="57">
        <f>95925+35613</f>
        <v>131538</v>
      </c>
      <c r="BQ63" s="57">
        <f>89970+35199</f>
        <v>125169</v>
      </c>
      <c r="BR63" s="57">
        <f>99591+39254</f>
        <v>138845</v>
      </c>
      <c r="BS63" s="57">
        <v>143570</v>
      </c>
      <c r="BT63" s="57">
        <v>172000</v>
      </c>
      <c r="BU63" s="57">
        <v>171311</v>
      </c>
      <c r="BV63" s="57">
        <v>270467</v>
      </c>
      <c r="BW63" s="57">
        <v>190786</v>
      </c>
      <c r="BX63" s="57">
        <v>214537</v>
      </c>
      <c r="BY63" s="57">
        <v>258055</v>
      </c>
      <c r="BZ63" s="57">
        <v>192303</v>
      </c>
      <c r="CA63" s="57">
        <v>199298</v>
      </c>
      <c r="CB63" s="57">
        <v>144011</v>
      </c>
      <c r="CC63" s="57">
        <v>147900</v>
      </c>
      <c r="CD63" s="57">
        <v>154711</v>
      </c>
      <c r="CE63" s="57">
        <v>155763</v>
      </c>
      <c r="CG63" s="54" t="s">
        <v>58</v>
      </c>
      <c r="CH63" s="57">
        <v>78485</v>
      </c>
      <c r="CI63" s="57">
        <v>71067</v>
      </c>
      <c r="CJ63" s="57">
        <v>112950</v>
      </c>
      <c r="CK63" s="57">
        <v>81785</v>
      </c>
      <c r="CL63" s="57">
        <v>84392</v>
      </c>
      <c r="CM63" s="57">
        <v>84659</v>
      </c>
      <c r="CN63" s="57">
        <v>80803</v>
      </c>
      <c r="CO63" s="57">
        <v>60638</v>
      </c>
      <c r="CP63" s="57">
        <v>84860</v>
      </c>
      <c r="CQ63" s="57">
        <v>75840</v>
      </c>
      <c r="CR63" s="57">
        <v>74398</v>
      </c>
      <c r="CS63" s="57">
        <v>75193</v>
      </c>
      <c r="CT63" s="57">
        <v>63978</v>
      </c>
      <c r="CU63" s="57">
        <v>56252</v>
      </c>
      <c r="CV63" s="57">
        <v>42298</v>
      </c>
      <c r="CW63" s="57">
        <v>18551</v>
      </c>
      <c r="CX63" s="57">
        <v>31869</v>
      </c>
      <c r="CY63" s="57">
        <v>60572</v>
      </c>
      <c r="CZ63" s="57">
        <v>75982</v>
      </c>
      <c r="DA63" s="57">
        <v>52220</v>
      </c>
      <c r="DB63" s="57">
        <v>79497</v>
      </c>
      <c r="DC63" s="57">
        <v>59108</v>
      </c>
      <c r="DD63" s="57">
        <v>56102</v>
      </c>
      <c r="DE63" s="57">
        <v>58300</v>
      </c>
      <c r="DF63" s="57">
        <v>23859</v>
      </c>
      <c r="DG63" s="57">
        <v>23373</v>
      </c>
      <c r="DH63" s="57">
        <v>40846</v>
      </c>
      <c r="DI63" s="57">
        <v>24692</v>
      </c>
      <c r="DJ63" s="57">
        <v>24769</v>
      </c>
      <c r="DK63" s="57">
        <v>29055</v>
      </c>
      <c r="DL63" s="57">
        <v>22200</v>
      </c>
      <c r="DM63" s="57">
        <v>12284</v>
      </c>
      <c r="DN63" s="57">
        <v>18412</v>
      </c>
      <c r="DO63" s="57">
        <v>21735</v>
      </c>
      <c r="DP63" s="57">
        <v>21937</v>
      </c>
      <c r="DQ63" s="57">
        <v>27139</v>
      </c>
    </row>
    <row r="64" spans="1:121" ht="12" customHeight="1" x14ac:dyDescent="0.25">
      <c r="A64" s="54" t="s">
        <v>57</v>
      </c>
      <c r="B64" s="57">
        <v>68921</v>
      </c>
      <c r="C64" s="57">
        <v>66092</v>
      </c>
      <c r="D64" s="57">
        <v>80937</v>
      </c>
      <c r="E64" s="57">
        <v>75131</v>
      </c>
      <c r="F64" s="57">
        <v>66418</v>
      </c>
      <c r="G64" s="57">
        <v>37687</v>
      </c>
      <c r="H64" s="57">
        <v>62656</v>
      </c>
      <c r="I64" s="57">
        <v>64374</v>
      </c>
      <c r="J64" s="57">
        <v>59221</v>
      </c>
      <c r="K64" s="57">
        <v>50393</v>
      </c>
      <c r="L64" s="57">
        <v>60696</v>
      </c>
      <c r="M64" s="57">
        <v>55892</v>
      </c>
      <c r="N64" s="57">
        <v>80192</v>
      </c>
      <c r="O64" s="57">
        <v>67796</v>
      </c>
      <c r="P64" s="57">
        <v>73444</v>
      </c>
      <c r="Q64" s="57">
        <v>68664</v>
      </c>
      <c r="R64" s="57">
        <v>62367</v>
      </c>
      <c r="S64" s="57">
        <v>35607</v>
      </c>
      <c r="T64" s="57">
        <v>64633</v>
      </c>
      <c r="U64" s="57">
        <v>59940</v>
      </c>
      <c r="V64" s="57">
        <v>55441</v>
      </c>
      <c r="W64" s="57">
        <v>51606</v>
      </c>
      <c r="X64" s="57">
        <v>59322</v>
      </c>
      <c r="Y64" s="57">
        <v>58757</v>
      </c>
      <c r="Z64" s="57">
        <v>83579</v>
      </c>
      <c r="AA64" s="57">
        <v>68593</v>
      </c>
      <c r="AB64" s="57">
        <v>70969</v>
      </c>
      <c r="AC64" s="57">
        <v>73375</v>
      </c>
      <c r="AD64" s="57">
        <v>63815</v>
      </c>
      <c r="AE64" s="57">
        <v>34533</v>
      </c>
      <c r="AF64" s="57">
        <v>68271</v>
      </c>
      <c r="AG64" s="57">
        <v>64778</v>
      </c>
      <c r="AH64" s="57">
        <v>57544</v>
      </c>
      <c r="AI64" s="57">
        <v>55247</v>
      </c>
      <c r="AJ64" s="57">
        <v>62844</v>
      </c>
      <c r="AK64" s="57">
        <v>65770</v>
      </c>
      <c r="AL64" s="57">
        <v>96786</v>
      </c>
      <c r="AM64" s="57">
        <v>78100</v>
      </c>
      <c r="AN64" s="57">
        <v>77698</v>
      </c>
      <c r="AO64" s="57">
        <v>86545</v>
      </c>
      <c r="AP64" s="57">
        <v>74424</v>
      </c>
      <c r="AQ64" s="57">
        <v>39493</v>
      </c>
      <c r="AR64" s="57">
        <v>78947</v>
      </c>
      <c r="AS64" s="57">
        <v>69808</v>
      </c>
      <c r="AT64" s="57">
        <v>67073</v>
      </c>
      <c r="AU64" s="57">
        <v>65848</v>
      </c>
      <c r="AV64" s="57">
        <v>72201</v>
      </c>
      <c r="AW64" s="57">
        <v>80623</v>
      </c>
      <c r="AX64" s="57">
        <v>109806</v>
      </c>
      <c r="AY64" s="57">
        <v>89179</v>
      </c>
      <c r="AZ64" s="57">
        <v>97490</v>
      </c>
      <c r="BA64" s="57">
        <v>98093</v>
      </c>
      <c r="BB64" s="57">
        <v>77594</v>
      </c>
      <c r="BC64" s="57">
        <v>47273</v>
      </c>
      <c r="BD64" s="57">
        <v>89973</v>
      </c>
      <c r="BE64" s="57">
        <v>74596</v>
      </c>
      <c r="BF64" s="57">
        <v>74509</v>
      </c>
      <c r="BG64" s="57">
        <v>73164</v>
      </c>
      <c r="BH64" s="57">
        <v>82757</v>
      </c>
      <c r="BI64" s="57">
        <v>87469</v>
      </c>
      <c r="BJ64" s="57">
        <v>129670</v>
      </c>
      <c r="BK64" s="57">
        <v>88581</v>
      </c>
      <c r="BL64" s="57">
        <v>109069</v>
      </c>
      <c r="BM64" s="57">
        <v>105859</v>
      </c>
      <c r="BN64" s="57">
        <v>78760</v>
      </c>
      <c r="BO64" s="57">
        <v>52107</v>
      </c>
      <c r="BP64" s="57">
        <v>89225</v>
      </c>
      <c r="BQ64" s="57">
        <v>75663</v>
      </c>
      <c r="BR64" s="57">
        <v>73967</v>
      </c>
      <c r="BS64" s="57">
        <v>61558</v>
      </c>
      <c r="BT64" s="57">
        <v>84175</v>
      </c>
      <c r="BU64" s="57">
        <v>83898</v>
      </c>
      <c r="BV64" s="57">
        <v>119779</v>
      </c>
      <c r="BW64" s="57">
        <v>90624</v>
      </c>
      <c r="BX64" s="57">
        <v>109030</v>
      </c>
      <c r="BY64" s="57">
        <v>104219</v>
      </c>
      <c r="BZ64" s="57">
        <v>92200</v>
      </c>
      <c r="CA64" s="57">
        <v>72758</v>
      </c>
      <c r="CB64" s="57">
        <v>61215</v>
      </c>
      <c r="CC64" s="57">
        <v>65391</v>
      </c>
      <c r="CD64" s="57">
        <v>68707</v>
      </c>
      <c r="CE64" s="57">
        <v>59756</v>
      </c>
      <c r="CG64" s="54" t="s">
        <v>59</v>
      </c>
      <c r="CH64" s="57">
        <v>27517</v>
      </c>
      <c r="CI64" s="57">
        <v>22849</v>
      </c>
      <c r="CJ64" s="57">
        <v>36657</v>
      </c>
      <c r="CK64" s="57">
        <v>28131</v>
      </c>
      <c r="CL64" s="57">
        <v>30011</v>
      </c>
      <c r="CM64" s="57">
        <v>29834</v>
      </c>
      <c r="CN64" s="57">
        <v>27226</v>
      </c>
      <c r="CO64" s="57">
        <v>15616</v>
      </c>
      <c r="CP64" s="57">
        <v>31109</v>
      </c>
      <c r="CQ64" s="57">
        <v>27669</v>
      </c>
      <c r="CR64" s="57">
        <v>28737</v>
      </c>
      <c r="CS64" s="57">
        <v>37223</v>
      </c>
      <c r="CT64" s="57">
        <v>23099</v>
      </c>
      <c r="CU64" s="57">
        <v>23140</v>
      </c>
      <c r="CV64" s="57">
        <v>24153</v>
      </c>
      <c r="CW64" s="57">
        <v>9021</v>
      </c>
      <c r="CX64" s="57">
        <v>14615</v>
      </c>
      <c r="CY64" s="57">
        <v>29548</v>
      </c>
      <c r="CZ64" s="57">
        <v>29454</v>
      </c>
      <c r="DA64" s="57">
        <v>15528</v>
      </c>
      <c r="DB64" s="57">
        <v>29877</v>
      </c>
      <c r="DC64" s="57">
        <v>27850</v>
      </c>
      <c r="DD64" s="57">
        <v>28065</v>
      </c>
      <c r="DE64" s="57">
        <v>32491</v>
      </c>
      <c r="DF64" s="57">
        <v>53336</v>
      </c>
      <c r="DG64" s="57">
        <v>47120</v>
      </c>
      <c r="DH64" s="57">
        <v>89650</v>
      </c>
      <c r="DI64" s="57">
        <v>66015</v>
      </c>
      <c r="DJ64" s="57">
        <v>51057</v>
      </c>
      <c r="DK64" s="57">
        <v>61464</v>
      </c>
      <c r="DL64" s="57">
        <v>59871</v>
      </c>
      <c r="DM64" s="57">
        <v>37376</v>
      </c>
      <c r="DN64" s="57">
        <v>45865</v>
      </c>
      <c r="DO64" s="57">
        <v>52184</v>
      </c>
      <c r="DP64" s="57">
        <v>56524</v>
      </c>
      <c r="DQ64" s="57">
        <v>63780</v>
      </c>
    </row>
    <row r="65" spans="1:121" ht="12" customHeight="1" x14ac:dyDescent="0.25">
      <c r="A65" s="54" t="s">
        <v>58</v>
      </c>
      <c r="B65" s="57">
        <v>80212</v>
      </c>
      <c r="C65" s="57">
        <v>71304</v>
      </c>
      <c r="D65" s="57">
        <v>131417</v>
      </c>
      <c r="E65" s="57">
        <v>78844</v>
      </c>
      <c r="F65" s="57">
        <v>68033</v>
      </c>
      <c r="G65" s="57">
        <v>44145</v>
      </c>
      <c r="H65" s="57">
        <v>93530</v>
      </c>
      <c r="I65" s="57">
        <v>72891</v>
      </c>
      <c r="J65" s="57">
        <v>73623</v>
      </c>
      <c r="K65" s="57">
        <v>54368</v>
      </c>
      <c r="L65" s="57">
        <v>61544</v>
      </c>
      <c r="M65" s="57">
        <v>53878</v>
      </c>
      <c r="N65" s="57">
        <v>109461</v>
      </c>
      <c r="O65" s="57">
        <v>78129</v>
      </c>
      <c r="P65" s="57">
        <v>85381</v>
      </c>
      <c r="Q65" s="57">
        <v>90191</v>
      </c>
      <c r="R65" s="57">
        <v>75443</v>
      </c>
      <c r="S65" s="57">
        <v>42490</v>
      </c>
      <c r="T65" s="57">
        <v>97419</v>
      </c>
      <c r="U65" s="57">
        <v>75607</v>
      </c>
      <c r="V65" s="57">
        <v>69298</v>
      </c>
      <c r="W65" s="57">
        <v>64042</v>
      </c>
      <c r="X65" s="57">
        <v>67043</v>
      </c>
      <c r="Y65" s="57">
        <v>58990</v>
      </c>
      <c r="Z65" s="57">
        <v>125472</v>
      </c>
      <c r="AA65" s="57">
        <v>84827</v>
      </c>
      <c r="AB65" s="57">
        <v>82437</v>
      </c>
      <c r="AC65" s="57">
        <v>89425</v>
      </c>
      <c r="AD65" s="57">
        <v>77732</v>
      </c>
      <c r="AE65" s="57">
        <v>48628</v>
      </c>
      <c r="AF65" s="57">
        <v>103384</v>
      </c>
      <c r="AG65" s="57">
        <v>78015</v>
      </c>
      <c r="AH65" s="57">
        <v>64589</v>
      </c>
      <c r="AI65" s="57">
        <v>67276</v>
      </c>
      <c r="AJ65" s="57">
        <v>70170</v>
      </c>
      <c r="AK65" s="57">
        <v>62105</v>
      </c>
      <c r="AL65" s="57">
        <v>136185</v>
      </c>
      <c r="AM65" s="57">
        <v>86047</v>
      </c>
      <c r="AN65" s="57">
        <v>81612</v>
      </c>
      <c r="AO65" s="57">
        <v>103397</v>
      </c>
      <c r="AP65" s="57">
        <v>82542</v>
      </c>
      <c r="AQ65" s="57">
        <v>52414</v>
      </c>
      <c r="AR65" s="57">
        <v>109780</v>
      </c>
      <c r="AS65" s="57">
        <v>78975</v>
      </c>
      <c r="AT65" s="57">
        <v>77378</v>
      </c>
      <c r="AU65" s="57">
        <v>80270</v>
      </c>
      <c r="AV65" s="57">
        <v>77180</v>
      </c>
      <c r="AW65" s="57">
        <v>73590</v>
      </c>
      <c r="AX65" s="57">
        <v>136191</v>
      </c>
      <c r="AY65" s="57">
        <v>89118</v>
      </c>
      <c r="AZ65" s="57">
        <v>87805</v>
      </c>
      <c r="BA65" s="57">
        <v>101995</v>
      </c>
      <c r="BB65" s="57">
        <v>82624</v>
      </c>
      <c r="BC65" s="57">
        <v>54885</v>
      </c>
      <c r="BD65" s="57">
        <v>108390</v>
      </c>
      <c r="BE65" s="57">
        <v>77214</v>
      </c>
      <c r="BF65" s="57">
        <v>78683</v>
      </c>
      <c r="BG65" s="57">
        <v>75620</v>
      </c>
      <c r="BH65" s="57">
        <v>83903</v>
      </c>
      <c r="BI65" s="57">
        <v>71743</v>
      </c>
      <c r="BJ65" s="57">
        <v>157620</v>
      </c>
      <c r="BK65" s="57">
        <v>78436</v>
      </c>
      <c r="BL65" s="57">
        <v>90937</v>
      </c>
      <c r="BM65" s="57">
        <v>98201</v>
      </c>
      <c r="BN65" s="57">
        <v>85587</v>
      </c>
      <c r="BO65" s="57">
        <v>52593</v>
      </c>
      <c r="BP65" s="57">
        <v>93086</v>
      </c>
      <c r="BQ65" s="57">
        <v>79548</v>
      </c>
      <c r="BR65" s="57">
        <v>80248</v>
      </c>
      <c r="BS65" s="57">
        <v>70055</v>
      </c>
      <c r="BT65" s="57">
        <v>84886</v>
      </c>
      <c r="BU65" s="57">
        <v>76329</v>
      </c>
      <c r="BV65" s="57">
        <v>134662</v>
      </c>
      <c r="BW65" s="57">
        <v>87843</v>
      </c>
      <c r="BX65" s="57">
        <v>89699</v>
      </c>
      <c r="BY65" s="57">
        <v>77253</v>
      </c>
      <c r="BZ65" s="57">
        <v>88101</v>
      </c>
      <c r="CA65" s="57">
        <v>59854</v>
      </c>
      <c r="CB65" s="57">
        <v>79292</v>
      </c>
      <c r="CC65" s="57">
        <v>77997</v>
      </c>
      <c r="CD65" s="57">
        <v>72685</v>
      </c>
      <c r="CE65" s="57">
        <v>65796</v>
      </c>
      <c r="CG65" s="54" t="s">
        <v>60</v>
      </c>
      <c r="CH65" s="57">
        <v>73347</v>
      </c>
      <c r="CI65" s="57">
        <v>68320</v>
      </c>
      <c r="CJ65" s="57">
        <v>105129</v>
      </c>
      <c r="CK65" s="57">
        <v>85921</v>
      </c>
      <c r="CL65" s="57">
        <v>85688</v>
      </c>
      <c r="CM65" s="57">
        <v>82977</v>
      </c>
      <c r="CN65" s="57">
        <v>83270</v>
      </c>
      <c r="CO65" s="57">
        <v>73850</v>
      </c>
      <c r="CP65" s="57">
        <v>94055</v>
      </c>
      <c r="CQ65" s="57">
        <v>85523</v>
      </c>
      <c r="CR65" s="57">
        <v>88833</v>
      </c>
      <c r="CS65" s="57">
        <v>89992</v>
      </c>
      <c r="CT65" s="57">
        <v>65889</v>
      </c>
      <c r="CU65" s="57">
        <v>60265</v>
      </c>
      <c r="CV65" s="57">
        <v>56619</v>
      </c>
      <c r="CW65" s="57">
        <v>16759</v>
      </c>
      <c r="CX65" s="57">
        <v>39035</v>
      </c>
      <c r="CY65" s="57">
        <v>67253</v>
      </c>
      <c r="CZ65" s="57">
        <v>82851</v>
      </c>
      <c r="DA65" s="57">
        <v>59939</v>
      </c>
      <c r="DB65" s="57">
        <v>88303</v>
      </c>
      <c r="DC65" s="57">
        <v>79231</v>
      </c>
      <c r="DD65" s="57">
        <v>74261</v>
      </c>
      <c r="DE65" s="57">
        <v>74960</v>
      </c>
      <c r="DF65" s="57">
        <v>64077</v>
      </c>
      <c r="DG65" s="57">
        <v>58669</v>
      </c>
      <c r="DH65" s="57">
        <v>103821</v>
      </c>
      <c r="DI65" s="57">
        <v>76846</v>
      </c>
      <c r="DJ65" s="57">
        <v>78113</v>
      </c>
      <c r="DK65" s="57">
        <v>88041</v>
      </c>
      <c r="DL65" s="57">
        <v>71162</v>
      </c>
      <c r="DM65" s="57">
        <v>52125</v>
      </c>
      <c r="DN65" s="57">
        <v>68437</v>
      </c>
      <c r="DO65" s="57">
        <v>60976</v>
      </c>
      <c r="DP65" s="57">
        <v>67471</v>
      </c>
      <c r="DQ65" s="57">
        <v>69024</v>
      </c>
    </row>
    <row r="66" spans="1:121" ht="12" customHeight="1" x14ac:dyDescent="0.25">
      <c r="A66" s="54" t="s">
        <v>59</v>
      </c>
      <c r="B66" s="57">
        <v>20558</v>
      </c>
      <c r="C66" s="57">
        <v>17049</v>
      </c>
      <c r="D66" s="57">
        <v>26150</v>
      </c>
      <c r="E66" s="57">
        <v>20332</v>
      </c>
      <c r="F66" s="57">
        <v>12490</v>
      </c>
      <c r="G66" s="57">
        <v>12251</v>
      </c>
      <c r="H66" s="57">
        <v>19926</v>
      </c>
      <c r="I66" s="57">
        <v>21553</v>
      </c>
      <c r="J66" s="57">
        <v>19738</v>
      </c>
      <c r="K66" s="57">
        <v>19402</v>
      </c>
      <c r="L66" s="57">
        <v>16556</v>
      </c>
      <c r="M66" s="57">
        <v>15026</v>
      </c>
      <c r="N66" s="57">
        <v>22786</v>
      </c>
      <c r="O66" s="57">
        <v>18832</v>
      </c>
      <c r="P66" s="57">
        <v>19808</v>
      </c>
      <c r="Q66" s="57">
        <v>18842</v>
      </c>
      <c r="R66" s="57">
        <v>17881</v>
      </c>
      <c r="S66" s="57">
        <v>10043</v>
      </c>
      <c r="T66" s="57">
        <v>22976</v>
      </c>
      <c r="U66" s="57">
        <v>22072</v>
      </c>
      <c r="V66" s="57">
        <v>20341</v>
      </c>
      <c r="W66" s="57">
        <v>25174</v>
      </c>
      <c r="X66" s="57">
        <v>16741</v>
      </c>
      <c r="Y66" s="57">
        <v>16343</v>
      </c>
      <c r="Z66" s="57">
        <v>26323</v>
      </c>
      <c r="AA66" s="57">
        <v>20773</v>
      </c>
      <c r="AB66" s="57">
        <v>21854</v>
      </c>
      <c r="AC66" s="57">
        <v>21998</v>
      </c>
      <c r="AD66" s="57">
        <v>19245</v>
      </c>
      <c r="AE66" s="57">
        <v>13034</v>
      </c>
      <c r="AF66" s="57">
        <v>26190</v>
      </c>
      <c r="AG66" s="57">
        <v>25182</v>
      </c>
      <c r="AH66" s="57">
        <v>22145</v>
      </c>
      <c r="AI66" s="57">
        <v>24913</v>
      </c>
      <c r="AJ66" s="57">
        <v>18777</v>
      </c>
      <c r="AK66" s="57">
        <v>16875</v>
      </c>
      <c r="AL66" s="57">
        <v>27911</v>
      </c>
      <c r="AM66" s="57">
        <v>22918</v>
      </c>
      <c r="AN66" s="57">
        <v>20671</v>
      </c>
      <c r="AO66" s="57">
        <v>33155</v>
      </c>
      <c r="AP66" s="57">
        <v>22474</v>
      </c>
      <c r="AQ66" s="57">
        <v>7036</v>
      </c>
      <c r="AR66" s="57">
        <v>28244</v>
      </c>
      <c r="AS66" s="57">
        <v>25418</v>
      </c>
      <c r="AT66" s="57">
        <v>27163</v>
      </c>
      <c r="AU66" s="57">
        <v>34890</v>
      </c>
      <c r="AV66" s="57">
        <v>19675</v>
      </c>
      <c r="AW66" s="57">
        <v>20444</v>
      </c>
      <c r="AX66" s="57">
        <v>30639</v>
      </c>
      <c r="AY66" s="57">
        <v>24831</v>
      </c>
      <c r="AZ66" s="57">
        <v>24610</v>
      </c>
      <c r="BA66" s="57">
        <v>29528</v>
      </c>
      <c r="BB66" s="57">
        <v>21567</v>
      </c>
      <c r="BC66" s="57">
        <v>11191</v>
      </c>
      <c r="BD66" s="57">
        <v>27499</v>
      </c>
      <c r="BE66" s="57">
        <v>25480</v>
      </c>
      <c r="BF66" s="57">
        <v>24651</v>
      </c>
      <c r="BG66" s="57">
        <v>30112</v>
      </c>
      <c r="BH66" s="57">
        <v>22106</v>
      </c>
      <c r="BI66" s="57">
        <v>21280</v>
      </c>
      <c r="BJ66" s="57">
        <v>36761</v>
      </c>
      <c r="BK66" s="57">
        <v>24515</v>
      </c>
      <c r="BL66" s="57">
        <v>26536</v>
      </c>
      <c r="BM66" s="57">
        <v>29638</v>
      </c>
      <c r="BN66" s="57">
        <v>21956</v>
      </c>
      <c r="BO66" s="57">
        <v>14255</v>
      </c>
      <c r="BP66" s="57">
        <v>27349</v>
      </c>
      <c r="BQ66" s="57">
        <v>24990</v>
      </c>
      <c r="BR66" s="57">
        <v>24800</v>
      </c>
      <c r="BS66" s="57">
        <v>29126</v>
      </c>
      <c r="BT66" s="57">
        <v>22236</v>
      </c>
      <c r="BU66" s="57">
        <v>22173</v>
      </c>
      <c r="BV66" s="57">
        <v>36163</v>
      </c>
      <c r="BW66" s="57">
        <v>26688</v>
      </c>
      <c r="BX66" s="57">
        <v>26786</v>
      </c>
      <c r="BY66" s="57">
        <v>37451</v>
      </c>
      <c r="BZ66" s="57">
        <v>23982</v>
      </c>
      <c r="CA66" s="57">
        <v>14165</v>
      </c>
      <c r="CB66" s="57">
        <v>28638</v>
      </c>
      <c r="CC66" s="57">
        <v>28685</v>
      </c>
      <c r="CD66" s="57">
        <v>26144</v>
      </c>
      <c r="CE66" s="57">
        <v>26960</v>
      </c>
      <c r="CG66" s="54" t="s">
        <v>61</v>
      </c>
      <c r="CH66" s="57">
        <v>74015</v>
      </c>
      <c r="CI66" s="57">
        <v>65666</v>
      </c>
      <c r="CJ66" s="57">
        <v>120467</v>
      </c>
      <c r="CK66" s="57">
        <v>84687</v>
      </c>
      <c r="CL66" s="57">
        <v>91910</v>
      </c>
      <c r="CM66" s="57">
        <v>100369</v>
      </c>
      <c r="CN66" s="57">
        <v>77884</v>
      </c>
      <c r="CO66" s="57">
        <v>58703</v>
      </c>
      <c r="CP66" s="57">
        <v>102636</v>
      </c>
      <c r="CQ66" s="57">
        <v>88428</v>
      </c>
      <c r="CR66" s="57">
        <v>86062</v>
      </c>
      <c r="CS66" s="57">
        <v>97220</v>
      </c>
      <c r="CT66" s="57">
        <v>76881</v>
      </c>
      <c r="CU66" s="57">
        <v>67342</v>
      </c>
      <c r="CV66" s="57">
        <v>72501</v>
      </c>
      <c r="CW66" s="57">
        <v>25962</v>
      </c>
      <c r="CX66" s="57">
        <v>39650</v>
      </c>
      <c r="CY66" s="57">
        <v>74311</v>
      </c>
      <c r="CZ66" s="57">
        <v>91944</v>
      </c>
      <c r="DA66" s="57">
        <v>62767</v>
      </c>
      <c r="DB66" s="57">
        <v>90939</v>
      </c>
      <c r="DC66" s="57">
        <v>77626</v>
      </c>
      <c r="DD66" s="57">
        <v>78935</v>
      </c>
      <c r="DE66" s="57">
        <v>88623</v>
      </c>
      <c r="DF66" s="57">
        <v>62401</v>
      </c>
      <c r="DG66" s="57">
        <v>60877</v>
      </c>
      <c r="DH66" s="57">
        <v>98582</v>
      </c>
      <c r="DI66" s="57">
        <v>78669</v>
      </c>
      <c r="DJ66" s="57">
        <v>88182</v>
      </c>
      <c r="DK66" s="57">
        <v>105447</v>
      </c>
      <c r="DL66" s="57">
        <v>95676</v>
      </c>
      <c r="DM66" s="57">
        <v>73060</v>
      </c>
      <c r="DN66" s="57">
        <v>108251</v>
      </c>
      <c r="DO66" s="57">
        <v>86395</v>
      </c>
      <c r="DP66" s="57">
        <v>85893</v>
      </c>
      <c r="DQ66" s="57">
        <v>75130</v>
      </c>
    </row>
    <row r="67" spans="1:121" ht="12" customHeight="1" x14ac:dyDescent="0.25">
      <c r="A67" s="54" t="s">
        <v>60</v>
      </c>
      <c r="B67" s="57">
        <v>49145</v>
      </c>
      <c r="C67" s="57">
        <v>44959</v>
      </c>
      <c r="D67" s="57">
        <v>73899</v>
      </c>
      <c r="E67" s="57">
        <v>56677</v>
      </c>
      <c r="F67" s="57">
        <v>49714</v>
      </c>
      <c r="G67" s="57">
        <v>39464</v>
      </c>
      <c r="H67" s="57">
        <v>60803</v>
      </c>
      <c r="I67" s="57">
        <v>53178</v>
      </c>
      <c r="J67" s="57">
        <v>55511</v>
      </c>
      <c r="K67" s="57">
        <v>48575</v>
      </c>
      <c r="L67" s="57">
        <v>50961</v>
      </c>
      <c r="M67" s="57">
        <v>44183</v>
      </c>
      <c r="N67" s="57">
        <v>73187</v>
      </c>
      <c r="O67" s="57">
        <v>62920</v>
      </c>
      <c r="P67" s="57">
        <v>60470</v>
      </c>
      <c r="Q67" s="57">
        <v>64839</v>
      </c>
      <c r="R67" s="57">
        <v>56671</v>
      </c>
      <c r="S67" s="57">
        <v>41639</v>
      </c>
      <c r="T67" s="57">
        <v>68295</v>
      </c>
      <c r="U67" s="57">
        <v>56916</v>
      </c>
      <c r="V67" s="57">
        <v>54627</v>
      </c>
      <c r="W67" s="57">
        <v>47943</v>
      </c>
      <c r="X67" s="57">
        <v>50829</v>
      </c>
      <c r="Y67" s="57">
        <v>45790</v>
      </c>
      <c r="Z67" s="57">
        <v>77151</v>
      </c>
      <c r="AA67" s="57">
        <v>62986</v>
      </c>
      <c r="AB67" s="57">
        <v>62802</v>
      </c>
      <c r="AC67" s="57">
        <v>64356</v>
      </c>
      <c r="AD67" s="57">
        <v>58766</v>
      </c>
      <c r="AE67" s="57">
        <v>39620</v>
      </c>
      <c r="AF67" s="57">
        <v>72133</v>
      </c>
      <c r="AG67" s="57">
        <v>58414</v>
      </c>
      <c r="AH67" s="57">
        <v>57228</v>
      </c>
      <c r="AI67" s="57">
        <v>57927</v>
      </c>
      <c r="AJ67" s="57">
        <v>58350</v>
      </c>
      <c r="AK67" s="57">
        <v>52367</v>
      </c>
      <c r="AL67" s="57">
        <v>92255</v>
      </c>
      <c r="AM67" s="57">
        <v>67911</v>
      </c>
      <c r="AN67" s="57">
        <v>70053</v>
      </c>
      <c r="AO67" s="57">
        <v>78634</v>
      </c>
      <c r="AP67" s="57">
        <v>71380</v>
      </c>
      <c r="AQ67" s="57">
        <v>49417</v>
      </c>
      <c r="AR67" s="57">
        <v>85866</v>
      </c>
      <c r="AS67" s="57">
        <v>70650</v>
      </c>
      <c r="AT67" s="57">
        <v>70240</v>
      </c>
      <c r="AU67" s="57">
        <v>660233</v>
      </c>
      <c r="AV67" s="57">
        <v>63832</v>
      </c>
      <c r="AW67" s="57">
        <v>63019</v>
      </c>
      <c r="AX67" s="57">
        <v>102529</v>
      </c>
      <c r="AY67" s="57">
        <v>82585</v>
      </c>
      <c r="AZ67" s="57">
        <v>79908</v>
      </c>
      <c r="BA67" s="57">
        <v>91289</v>
      </c>
      <c r="BB67" s="57">
        <v>73056</v>
      </c>
      <c r="BC67" s="57">
        <v>57930</v>
      </c>
      <c r="BD67" s="57">
        <v>101252</v>
      </c>
      <c r="BE67" s="57">
        <v>74952</v>
      </c>
      <c r="BF67" s="57">
        <v>78442</v>
      </c>
      <c r="BG67" s="57">
        <v>76280</v>
      </c>
      <c r="BH67" s="57">
        <v>72965</v>
      </c>
      <c r="BI67" s="57">
        <v>63424</v>
      </c>
      <c r="BJ67" s="57">
        <v>115509</v>
      </c>
      <c r="BK67" s="57">
        <v>80494</v>
      </c>
      <c r="BL67" s="57">
        <v>91166</v>
      </c>
      <c r="BM67" s="57">
        <v>95129</v>
      </c>
      <c r="BN67" s="57">
        <v>80505</v>
      </c>
      <c r="BO67" s="57">
        <v>63394</v>
      </c>
      <c r="BP67" s="57">
        <v>100371</v>
      </c>
      <c r="BQ67" s="57">
        <v>79651</v>
      </c>
      <c r="BR67" s="57">
        <v>80963</v>
      </c>
      <c r="BS67" s="57">
        <v>70457</v>
      </c>
      <c r="BT67" s="57">
        <v>74448</v>
      </c>
      <c r="BU67" s="57">
        <v>65273</v>
      </c>
      <c r="BV67" s="57">
        <v>112344</v>
      </c>
      <c r="BW67" s="57">
        <v>85274</v>
      </c>
      <c r="BX67" s="57">
        <v>81128</v>
      </c>
      <c r="BY67" s="57">
        <v>90258</v>
      </c>
      <c r="BZ67" s="57">
        <v>68474</v>
      </c>
      <c r="CA67" s="57">
        <v>60641</v>
      </c>
      <c r="CB67" s="57">
        <v>87875</v>
      </c>
      <c r="CC67" s="57">
        <v>85666</v>
      </c>
      <c r="CD67" s="57">
        <v>82892</v>
      </c>
      <c r="CE67" s="57">
        <v>75914</v>
      </c>
      <c r="CG67" s="54" t="s">
        <v>62</v>
      </c>
      <c r="CH67" s="57">
        <v>85667</v>
      </c>
      <c r="CI67" s="57">
        <v>71881</v>
      </c>
      <c r="CJ67" s="57">
        <v>115537</v>
      </c>
      <c r="CK67" s="57">
        <v>91057</v>
      </c>
      <c r="CL67" s="57">
        <v>93011</v>
      </c>
      <c r="CM67" s="57">
        <v>95548</v>
      </c>
      <c r="CN67" s="57">
        <v>91818</v>
      </c>
      <c r="CO67" s="57">
        <v>71070</v>
      </c>
      <c r="CP67" s="57">
        <v>102423</v>
      </c>
      <c r="CQ67" s="57">
        <v>87278</v>
      </c>
      <c r="CR67" s="57">
        <v>82697</v>
      </c>
      <c r="CS67" s="57">
        <v>77872</v>
      </c>
      <c r="CT67" s="57">
        <v>79458</v>
      </c>
      <c r="CU67" s="57">
        <v>75238</v>
      </c>
      <c r="CV67" s="57">
        <v>67193</v>
      </c>
      <c r="CW67" s="57">
        <v>18673</v>
      </c>
      <c r="CX67" s="57">
        <v>42487</v>
      </c>
      <c r="CY67" s="57">
        <v>69977</v>
      </c>
      <c r="CZ67" s="57">
        <v>92435</v>
      </c>
      <c r="DA67" s="57">
        <v>73391</v>
      </c>
      <c r="DB67" s="57">
        <v>101220</v>
      </c>
      <c r="DC67" s="57">
        <v>81235</v>
      </c>
      <c r="DD67" s="57">
        <v>65805</v>
      </c>
      <c r="DE67" s="57">
        <v>74408</v>
      </c>
      <c r="DF67" s="57">
        <v>57698</v>
      </c>
      <c r="DG67" s="57">
        <v>53255</v>
      </c>
      <c r="DH67" s="57">
        <v>83862</v>
      </c>
      <c r="DI67" s="57">
        <v>66119</v>
      </c>
      <c r="DJ67" s="57">
        <v>66620</v>
      </c>
      <c r="DK67" s="57">
        <v>83451</v>
      </c>
      <c r="DL67" s="57">
        <v>65239</v>
      </c>
      <c r="DM67" s="57">
        <v>51345</v>
      </c>
      <c r="DN67" s="57">
        <v>66073</v>
      </c>
      <c r="DO67" s="57">
        <v>47285</v>
      </c>
      <c r="DP67" s="57">
        <v>55613</v>
      </c>
      <c r="DQ67" s="57">
        <v>56618</v>
      </c>
    </row>
    <row r="68" spans="1:121" ht="12" customHeight="1" x14ac:dyDescent="0.25">
      <c r="A68" s="54" t="s">
        <v>61</v>
      </c>
      <c r="B68" s="57">
        <v>53494</v>
      </c>
      <c r="C68" s="57">
        <v>49745</v>
      </c>
      <c r="D68" s="57">
        <v>92859</v>
      </c>
      <c r="E68" s="57">
        <v>68512</v>
      </c>
      <c r="F68" s="57">
        <v>55142</v>
      </c>
      <c r="G68" s="57">
        <v>42894</v>
      </c>
      <c r="H68" s="57">
        <v>83164</v>
      </c>
      <c r="I68" s="57">
        <v>63865</v>
      </c>
      <c r="J68" s="57">
        <v>68030</v>
      </c>
      <c r="K68" s="57">
        <v>65362</v>
      </c>
      <c r="L68" s="57">
        <v>57010</v>
      </c>
      <c r="M68" s="57">
        <v>48772</v>
      </c>
      <c r="N68" s="57">
        <v>89138</v>
      </c>
      <c r="O68" s="57">
        <v>66762</v>
      </c>
      <c r="P68" s="57">
        <v>68803</v>
      </c>
      <c r="Q68" s="57">
        <v>76790</v>
      </c>
      <c r="R68" s="57">
        <v>60545</v>
      </c>
      <c r="S68" s="57">
        <v>47044</v>
      </c>
      <c r="T68" s="57">
        <v>88680</v>
      </c>
      <c r="U68" s="57">
        <v>64598</v>
      </c>
      <c r="V68" s="57">
        <v>62860</v>
      </c>
      <c r="W68" s="57">
        <v>63495</v>
      </c>
      <c r="X68" s="57">
        <v>58164</v>
      </c>
      <c r="Y68" s="57">
        <v>50630</v>
      </c>
      <c r="Z68" s="57">
        <v>94800</v>
      </c>
      <c r="AA68" s="57">
        <v>65077</v>
      </c>
      <c r="AB68" s="57">
        <v>67229</v>
      </c>
      <c r="AC68" s="57">
        <v>79553</v>
      </c>
      <c r="AD68" s="57">
        <v>66944</v>
      </c>
      <c r="AE68" s="57">
        <v>46819</v>
      </c>
      <c r="AF68" s="57">
        <v>88423</v>
      </c>
      <c r="AG68" s="57">
        <v>70954</v>
      </c>
      <c r="AH68" s="57">
        <v>68890</v>
      </c>
      <c r="AI68" s="57">
        <v>73593</v>
      </c>
      <c r="AJ68" s="57">
        <v>62871</v>
      </c>
      <c r="AK68" s="57">
        <v>59015</v>
      </c>
      <c r="AL68" s="57">
        <v>105271</v>
      </c>
      <c r="AM68" s="57">
        <v>75660</v>
      </c>
      <c r="AN68" s="57">
        <v>72680</v>
      </c>
      <c r="AO68" s="57">
        <v>92266</v>
      </c>
      <c r="AP68" s="57">
        <v>71284</v>
      </c>
      <c r="AQ68" s="57">
        <v>56600</v>
      </c>
      <c r="AR68" s="57">
        <v>100708</v>
      </c>
      <c r="AS68" s="57">
        <v>77108</v>
      </c>
      <c r="AT68" s="57">
        <v>74740</v>
      </c>
      <c r="AU68" s="57">
        <v>87679</v>
      </c>
      <c r="AV68" s="57">
        <v>66154</v>
      </c>
      <c r="AW68" s="57">
        <v>67493</v>
      </c>
      <c r="AX68" s="57">
        <v>120394</v>
      </c>
      <c r="AY68" s="57">
        <v>84877</v>
      </c>
      <c r="AZ68" s="57">
        <v>87906</v>
      </c>
      <c r="BA68" s="57">
        <v>106717</v>
      </c>
      <c r="BB68" s="57">
        <v>73682</v>
      </c>
      <c r="BC68" s="57">
        <v>57353</v>
      </c>
      <c r="BD68" s="57">
        <v>114199</v>
      </c>
      <c r="BE68" s="57">
        <v>80648</v>
      </c>
      <c r="BF68" s="57">
        <v>85646</v>
      </c>
      <c r="BG68" s="57">
        <v>85665</v>
      </c>
      <c r="BH68" s="57">
        <v>72924</v>
      </c>
      <c r="BI68" s="57">
        <v>68221</v>
      </c>
      <c r="BJ68" s="57">
        <v>130023</v>
      </c>
      <c r="BK68" s="57">
        <v>79382</v>
      </c>
      <c r="BL68" s="57">
        <v>90498</v>
      </c>
      <c r="BM68" s="57">
        <v>103622</v>
      </c>
      <c r="BN68" s="57">
        <v>67068</v>
      </c>
      <c r="BO68" s="57">
        <v>64486</v>
      </c>
      <c r="BP68" s="57">
        <v>112013</v>
      </c>
      <c r="BQ68" s="57">
        <v>75069</v>
      </c>
      <c r="BR68" s="57">
        <v>87661</v>
      </c>
      <c r="BS68" s="57">
        <v>91613</v>
      </c>
      <c r="BT68" s="57">
        <v>76654</v>
      </c>
      <c r="BU68" s="57">
        <v>67549</v>
      </c>
      <c r="BV68" s="57">
        <v>122898</v>
      </c>
      <c r="BW68" s="57">
        <v>79514</v>
      </c>
      <c r="BX68" s="57">
        <v>84890</v>
      </c>
      <c r="BY68" s="57">
        <v>111961</v>
      </c>
      <c r="BZ68" s="57">
        <v>69785</v>
      </c>
      <c r="CA68" s="57">
        <v>62409</v>
      </c>
      <c r="CB68" s="57">
        <v>102163</v>
      </c>
      <c r="CC68" s="57">
        <v>85182</v>
      </c>
      <c r="CD68" s="57">
        <v>86022</v>
      </c>
      <c r="CE68" s="57">
        <v>84194</v>
      </c>
      <c r="CG68" s="54" t="s">
        <v>220</v>
      </c>
      <c r="CH68" s="57">
        <v>65460</v>
      </c>
      <c r="CI68" s="57">
        <v>53570</v>
      </c>
      <c r="CJ68" s="57">
        <v>82758</v>
      </c>
      <c r="CK68" s="57">
        <v>65983</v>
      </c>
      <c r="CL68" s="57">
        <v>72178</v>
      </c>
      <c r="CM68" s="57">
        <v>74921</v>
      </c>
      <c r="CN68" s="57">
        <v>70694</v>
      </c>
      <c r="CO68" s="57">
        <v>53704</v>
      </c>
      <c r="CP68" s="57">
        <v>73126</v>
      </c>
      <c r="CQ68" s="57">
        <v>67613</v>
      </c>
      <c r="CR68" s="57">
        <v>62105</v>
      </c>
      <c r="CS68" s="57">
        <v>55285</v>
      </c>
      <c r="CT68" s="57">
        <v>71877</v>
      </c>
      <c r="CU68" s="57">
        <v>60361</v>
      </c>
      <c r="CV68" s="57">
        <v>51937</v>
      </c>
      <c r="CW68" s="57">
        <v>12383</v>
      </c>
      <c r="CX68" s="57">
        <v>27149</v>
      </c>
      <c r="CY68" s="57">
        <v>66112</v>
      </c>
      <c r="CZ68" s="57">
        <f>65394+4717</f>
        <v>70111</v>
      </c>
      <c r="DA68" s="57">
        <f>49037+2738</f>
        <v>51775</v>
      </c>
      <c r="DB68" s="57">
        <f>74250+6527</f>
        <v>80777</v>
      </c>
      <c r="DC68" s="57">
        <v>65047</v>
      </c>
      <c r="DD68" s="57">
        <v>59701</v>
      </c>
      <c r="DE68" s="57">
        <v>68063</v>
      </c>
      <c r="DF68" s="57">
        <v>3625</v>
      </c>
      <c r="DG68" s="57">
        <v>3393</v>
      </c>
      <c r="DH68" s="57">
        <v>6865</v>
      </c>
      <c r="DI68" s="57">
        <v>5532</v>
      </c>
      <c r="DJ68" s="57">
        <v>6514</v>
      </c>
      <c r="DK68" s="57">
        <v>7379</v>
      </c>
      <c r="DL68" s="57">
        <v>7894</v>
      </c>
      <c r="DM68" s="57">
        <v>6135</v>
      </c>
      <c r="DN68" s="57">
        <v>9550</v>
      </c>
      <c r="DO68" s="57">
        <v>7224</v>
      </c>
      <c r="DP68" s="57">
        <v>4509</v>
      </c>
      <c r="DQ68" s="57">
        <v>4726</v>
      </c>
    </row>
    <row r="69" spans="1:121" ht="12" customHeight="1" x14ac:dyDescent="0.25">
      <c r="A69" s="54" t="s">
        <v>62</v>
      </c>
      <c r="B69" s="57">
        <v>55265</v>
      </c>
      <c r="C69" s="57">
        <v>53886</v>
      </c>
      <c r="D69" s="57">
        <v>85394</v>
      </c>
      <c r="E69" s="57">
        <v>64324</v>
      </c>
      <c r="F69" s="57">
        <v>60890</v>
      </c>
      <c r="G69" s="57">
        <v>47329</v>
      </c>
      <c r="H69" s="57">
        <v>74948</v>
      </c>
      <c r="I69" s="57">
        <v>62670</v>
      </c>
      <c r="J69" s="57">
        <v>59402</v>
      </c>
      <c r="K69" s="57">
        <v>58781</v>
      </c>
      <c r="L69" s="57">
        <v>59569</v>
      </c>
      <c r="M69" s="57">
        <v>51124</v>
      </c>
      <c r="N69" s="57">
        <v>81751</v>
      </c>
      <c r="O69" s="57">
        <v>66506</v>
      </c>
      <c r="P69" s="57">
        <v>66832</v>
      </c>
      <c r="Q69" s="57">
        <v>73265</v>
      </c>
      <c r="R69" s="57">
        <v>64551</v>
      </c>
      <c r="S69" s="57">
        <v>45106</v>
      </c>
      <c r="T69" s="57">
        <v>77748</v>
      </c>
      <c r="U69" s="57">
        <v>61770</v>
      </c>
      <c r="V69" s="57">
        <v>57534</v>
      </c>
      <c r="W69" s="57">
        <v>55146</v>
      </c>
      <c r="X69" s="57">
        <v>55794</v>
      </c>
      <c r="Y69" s="57">
        <v>54996</v>
      </c>
      <c r="Z69" s="57">
        <v>87788</v>
      </c>
      <c r="AA69" s="57">
        <v>66712</v>
      </c>
      <c r="AB69" s="57">
        <v>67242</v>
      </c>
      <c r="AC69" s="57">
        <v>72979</v>
      </c>
      <c r="AD69" s="57">
        <v>65176</v>
      </c>
      <c r="AE69" s="57">
        <v>46519</v>
      </c>
      <c r="AF69" s="57">
        <v>81691</v>
      </c>
      <c r="AG69" s="57">
        <v>66580</v>
      </c>
      <c r="AH69" s="57">
        <v>60201</v>
      </c>
      <c r="AI69" s="57">
        <v>52520</v>
      </c>
      <c r="AJ69" s="57">
        <v>59193</v>
      </c>
      <c r="AK69" s="57">
        <v>60439</v>
      </c>
      <c r="AL69" s="57">
        <v>96315</v>
      </c>
      <c r="AM69" s="57">
        <v>71899</v>
      </c>
      <c r="AN69" s="57">
        <v>70924</v>
      </c>
      <c r="AO69" s="57">
        <v>78489</v>
      </c>
      <c r="AP69" s="57">
        <v>72799</v>
      </c>
      <c r="AQ69" s="57">
        <v>52019</v>
      </c>
      <c r="AR69" s="57">
        <v>88486</v>
      </c>
      <c r="AS69" s="57">
        <v>70679</v>
      </c>
      <c r="AT69" s="57">
        <v>66566</v>
      </c>
      <c r="AU69" s="57">
        <v>67112</v>
      </c>
      <c r="AV69" s="57">
        <v>66154</v>
      </c>
      <c r="AW69" s="57">
        <v>65186</v>
      </c>
      <c r="AX69" s="57">
        <v>104971</v>
      </c>
      <c r="AY69" s="57">
        <v>82178</v>
      </c>
      <c r="AZ69" s="57">
        <v>82745</v>
      </c>
      <c r="BA69" s="57">
        <v>89129</v>
      </c>
      <c r="BB69" s="57">
        <v>78836</v>
      </c>
      <c r="BC69" s="57">
        <v>57614</v>
      </c>
      <c r="BD69" s="57">
        <v>96454</v>
      </c>
      <c r="BE69" s="57">
        <v>75200</v>
      </c>
      <c r="BF69" s="57">
        <v>73430</v>
      </c>
      <c r="BG69" s="57">
        <v>68007</v>
      </c>
      <c r="BH69" s="57">
        <v>76754</v>
      </c>
      <c r="BI69" s="57">
        <v>69178</v>
      </c>
      <c r="BJ69" s="57">
        <v>114129</v>
      </c>
      <c r="BK69" s="57">
        <v>80649</v>
      </c>
      <c r="BL69" s="57">
        <v>88355</v>
      </c>
      <c r="BM69" s="57">
        <v>93328</v>
      </c>
      <c r="BN69" s="57">
        <v>81562</v>
      </c>
      <c r="BO69" s="57">
        <v>58926</v>
      </c>
      <c r="BP69" s="57">
        <v>99950</v>
      </c>
      <c r="BQ69" s="57">
        <v>81827</v>
      </c>
      <c r="BR69" s="57">
        <v>79791</v>
      </c>
      <c r="BS69" s="57">
        <v>70934</v>
      </c>
      <c r="BT69" s="57">
        <v>85956</v>
      </c>
      <c r="BU69" s="57">
        <v>73025</v>
      </c>
      <c r="BV69" s="57">
        <v>117461</v>
      </c>
      <c r="BW69" s="57">
        <v>88503</v>
      </c>
      <c r="BX69" s="57">
        <v>91010</v>
      </c>
      <c r="BY69" s="57">
        <v>99107</v>
      </c>
      <c r="BZ69" s="57">
        <v>87158</v>
      </c>
      <c r="CA69" s="57">
        <v>77830</v>
      </c>
      <c r="CB69" s="57">
        <v>91622</v>
      </c>
      <c r="CC69" s="57">
        <v>81504</v>
      </c>
      <c r="CD69" s="57">
        <v>77545</v>
      </c>
      <c r="CE69" s="57">
        <v>66875</v>
      </c>
      <c r="CG69" s="54" t="s">
        <v>221</v>
      </c>
      <c r="CH69" s="57">
        <v>10150</v>
      </c>
      <c r="CI69" s="57">
        <v>8966</v>
      </c>
      <c r="CJ69" s="57">
        <v>19155</v>
      </c>
      <c r="CK69" s="57">
        <v>9249</v>
      </c>
      <c r="CL69" s="57">
        <v>9135</v>
      </c>
      <c r="CM69" s="57">
        <v>9946</v>
      </c>
      <c r="CN69" s="57">
        <v>9195</v>
      </c>
      <c r="CO69" s="57">
        <v>8050</v>
      </c>
      <c r="CP69" s="57">
        <v>11560</v>
      </c>
      <c r="CQ69" s="57">
        <v>7848</v>
      </c>
      <c r="CR69" s="57">
        <v>8452</v>
      </c>
      <c r="CS69" s="57">
        <v>10374</v>
      </c>
      <c r="CT69" s="57">
        <v>8176</v>
      </c>
      <c r="CU69" s="57">
        <v>6695</v>
      </c>
      <c r="CV69" s="57">
        <v>7543</v>
      </c>
      <c r="CW69" s="57">
        <v>1079</v>
      </c>
      <c r="CX69" s="57">
        <v>2748</v>
      </c>
      <c r="CY69" s="57">
        <v>6344</v>
      </c>
      <c r="CZ69" s="57">
        <v>9026</v>
      </c>
      <c r="DA69" s="57">
        <v>6302</v>
      </c>
      <c r="DB69" s="57">
        <v>12005</v>
      </c>
      <c r="DC69" s="57">
        <v>7409</v>
      </c>
      <c r="DD69" s="57">
        <v>5430</v>
      </c>
      <c r="DE69" s="57">
        <v>7942</v>
      </c>
      <c r="DF69" s="57">
        <v>8204</v>
      </c>
      <c r="DG69" s="57">
        <v>8936</v>
      </c>
      <c r="DH69" s="57">
        <v>16819</v>
      </c>
      <c r="DI69" s="57">
        <v>13829</v>
      </c>
      <c r="DJ69" s="57">
        <v>15156</v>
      </c>
      <c r="DK69" s="57">
        <v>17557</v>
      </c>
      <c r="DL69" s="57">
        <v>14091</v>
      </c>
      <c r="DM69" s="57">
        <v>11928</v>
      </c>
      <c r="DN69" s="57">
        <v>17940</v>
      </c>
      <c r="DO69" s="57">
        <v>11639</v>
      </c>
      <c r="DP69" s="57">
        <v>10239</v>
      </c>
      <c r="DQ69" s="57">
        <v>9096</v>
      </c>
    </row>
    <row r="70" spans="1:121" ht="12" customHeight="1" x14ac:dyDescent="0.25">
      <c r="A70" s="54" t="s">
        <v>63</v>
      </c>
      <c r="B70" s="57">
        <v>9838</v>
      </c>
      <c r="C70" s="57">
        <v>7126</v>
      </c>
      <c r="D70" s="57">
        <v>21321</v>
      </c>
      <c r="E70" s="57">
        <v>7893</v>
      </c>
      <c r="F70" s="57">
        <v>7515</v>
      </c>
      <c r="G70" s="57">
        <v>7552</v>
      </c>
      <c r="H70" s="57">
        <v>14867</v>
      </c>
      <c r="I70" s="57">
        <v>9567</v>
      </c>
      <c r="J70" s="57">
        <v>10715</v>
      </c>
      <c r="K70" s="57">
        <v>8338</v>
      </c>
      <c r="L70" s="57">
        <v>11888</v>
      </c>
      <c r="M70" s="57">
        <v>7515</v>
      </c>
      <c r="N70" s="57">
        <v>23998</v>
      </c>
      <c r="O70" s="57">
        <v>9067</v>
      </c>
      <c r="P70" s="57">
        <v>10693</v>
      </c>
      <c r="Q70" s="57">
        <v>10969</v>
      </c>
      <c r="R70" s="57">
        <v>8860</v>
      </c>
      <c r="S70" s="57">
        <v>4345</v>
      </c>
      <c r="T70" s="57">
        <v>18092</v>
      </c>
      <c r="U70" s="57">
        <v>10461</v>
      </c>
      <c r="V70" s="57">
        <v>10369</v>
      </c>
      <c r="W70" s="57">
        <v>9902</v>
      </c>
      <c r="X70" s="57">
        <v>11464</v>
      </c>
      <c r="Y70" s="57">
        <v>7481</v>
      </c>
      <c r="Z70" s="57">
        <v>23638</v>
      </c>
      <c r="AA70" s="57">
        <v>11501</v>
      </c>
      <c r="AB70" s="57">
        <v>11941</v>
      </c>
      <c r="AC70" s="57">
        <v>11892</v>
      </c>
      <c r="AD70" s="57">
        <v>9924</v>
      </c>
      <c r="AE70" s="57">
        <v>5159</v>
      </c>
      <c r="AF70" s="57">
        <v>18730</v>
      </c>
      <c r="AG70" s="57">
        <v>10733</v>
      </c>
      <c r="AH70" s="57">
        <v>10686</v>
      </c>
      <c r="AI70" s="57">
        <v>11293</v>
      </c>
      <c r="AJ70" s="57">
        <v>11049</v>
      </c>
      <c r="AK70" s="57">
        <v>7729</v>
      </c>
      <c r="AL70" s="57">
        <v>28179</v>
      </c>
      <c r="AM70" s="57">
        <v>13428</v>
      </c>
      <c r="AN70" s="57">
        <v>14177</v>
      </c>
      <c r="AO70" s="57">
        <v>16381</v>
      </c>
      <c r="AP70" s="57">
        <v>12349</v>
      </c>
      <c r="AQ70" s="57">
        <v>7206</v>
      </c>
      <c r="AR70" s="57">
        <v>21815</v>
      </c>
      <c r="AS70" s="57">
        <v>14258</v>
      </c>
      <c r="AT70" s="57">
        <v>18170</v>
      </c>
      <c r="AU70" s="57">
        <v>16087</v>
      </c>
      <c r="AV70" s="57">
        <v>16922</v>
      </c>
      <c r="AW70" s="57">
        <v>12267</v>
      </c>
      <c r="AX70" s="57">
        <v>36538</v>
      </c>
      <c r="AY70" s="57">
        <v>17988</v>
      </c>
      <c r="AZ70" s="57">
        <v>18826</v>
      </c>
      <c r="BA70" s="57">
        <v>20583</v>
      </c>
      <c r="BB70" s="57">
        <v>11042</v>
      </c>
      <c r="BC70" s="57">
        <v>13825</v>
      </c>
      <c r="BD70" s="57">
        <v>29056</v>
      </c>
      <c r="BE70" s="57">
        <v>16799</v>
      </c>
      <c r="BF70" s="57">
        <v>17555</v>
      </c>
      <c r="BG70" s="57">
        <v>20857</v>
      </c>
      <c r="BH70" s="57">
        <v>21654</v>
      </c>
      <c r="BI70" s="57">
        <v>15222</v>
      </c>
      <c r="BJ70" s="57">
        <v>48047</v>
      </c>
      <c r="BK70" s="57">
        <v>13352</v>
      </c>
      <c r="BL70" s="57">
        <v>16162</v>
      </c>
      <c r="BM70" s="57">
        <v>19038</v>
      </c>
      <c r="BN70" s="57">
        <v>15169</v>
      </c>
      <c r="BO70" s="57">
        <v>10201</v>
      </c>
      <c r="BP70" s="57">
        <v>29713</v>
      </c>
      <c r="BQ70" s="57">
        <v>16733</v>
      </c>
      <c r="BR70" s="57">
        <v>17961</v>
      </c>
      <c r="BS70" s="57">
        <v>16287</v>
      </c>
      <c r="BT70" s="57">
        <v>20674</v>
      </c>
      <c r="BU70" s="57">
        <v>12427</v>
      </c>
      <c r="BV70" s="57">
        <v>39986</v>
      </c>
      <c r="BW70" s="57">
        <v>14202</v>
      </c>
      <c r="BX70" s="57">
        <v>17090</v>
      </c>
      <c r="BY70" s="57">
        <v>22793</v>
      </c>
      <c r="BZ70" s="57">
        <v>13043</v>
      </c>
      <c r="CA70" s="57">
        <v>13845</v>
      </c>
      <c r="CB70" s="57">
        <v>33123</v>
      </c>
      <c r="CC70" s="57">
        <v>12020</v>
      </c>
      <c r="CD70" s="57">
        <v>20214</v>
      </c>
      <c r="CE70" s="57">
        <v>16771</v>
      </c>
      <c r="CG70" s="54" t="s">
        <v>222</v>
      </c>
      <c r="CH70" s="57">
        <v>18945</v>
      </c>
      <c r="CI70" s="57">
        <v>16762</v>
      </c>
      <c r="CJ70" s="57">
        <v>29826</v>
      </c>
      <c r="CK70" s="57">
        <v>17636</v>
      </c>
      <c r="CL70" s="57">
        <v>19969</v>
      </c>
      <c r="CM70" s="57">
        <v>21675</v>
      </c>
      <c r="CN70" s="57">
        <v>18004</v>
      </c>
      <c r="CO70" s="57">
        <v>14861</v>
      </c>
      <c r="CP70" s="57">
        <v>26617</v>
      </c>
      <c r="CQ70" s="57">
        <v>21840</v>
      </c>
      <c r="CR70" s="57">
        <v>22673</v>
      </c>
      <c r="CS70" s="57">
        <v>27754</v>
      </c>
      <c r="CT70" s="57">
        <v>13397</v>
      </c>
      <c r="CU70" s="57">
        <v>11603</v>
      </c>
      <c r="CV70" s="57">
        <v>11088</v>
      </c>
      <c r="CW70" s="57">
        <v>3229</v>
      </c>
      <c r="CX70" s="57">
        <v>7736</v>
      </c>
      <c r="CY70" s="57">
        <v>12037</v>
      </c>
      <c r="CZ70" s="57">
        <v>15140</v>
      </c>
      <c r="DA70" s="57">
        <v>10858</v>
      </c>
      <c r="DB70" s="57">
        <v>20363</v>
      </c>
      <c r="DC70" s="57">
        <v>14284</v>
      </c>
      <c r="DD70" s="57">
        <v>14123</v>
      </c>
      <c r="DE70" s="57">
        <v>15560</v>
      </c>
      <c r="DF70" s="57">
        <v>10987</v>
      </c>
      <c r="DG70" s="57">
        <v>12450</v>
      </c>
      <c r="DH70" s="57">
        <v>18072</v>
      </c>
      <c r="DI70" s="57">
        <v>13989</v>
      </c>
      <c r="DJ70" s="57">
        <v>15312</v>
      </c>
      <c r="DK70" s="57">
        <v>19718</v>
      </c>
      <c r="DL70" s="57">
        <v>15088</v>
      </c>
      <c r="DM70" s="57">
        <v>11161</v>
      </c>
      <c r="DN70" s="57">
        <v>18322</v>
      </c>
      <c r="DO70" s="57">
        <v>6189</v>
      </c>
      <c r="DP70" s="57">
        <v>16353</v>
      </c>
      <c r="DQ70" s="57">
        <v>8534</v>
      </c>
    </row>
    <row r="71" spans="1:121" ht="12" customHeight="1" x14ac:dyDescent="0.25">
      <c r="A71" s="54" t="s">
        <v>14</v>
      </c>
      <c r="B71" s="79">
        <v>900</v>
      </c>
      <c r="C71" s="57">
        <v>700</v>
      </c>
      <c r="D71" s="57">
        <v>800</v>
      </c>
      <c r="E71" s="57">
        <v>400</v>
      </c>
      <c r="F71" s="57">
        <v>250</v>
      </c>
      <c r="G71" s="57">
        <v>200</v>
      </c>
      <c r="H71" s="57">
        <v>300</v>
      </c>
      <c r="I71" s="57">
        <v>200</v>
      </c>
      <c r="J71" s="57">
        <v>180</v>
      </c>
      <c r="K71" s="57">
        <v>160</v>
      </c>
      <c r="L71" s="57">
        <v>300</v>
      </c>
      <c r="M71" s="57">
        <v>200</v>
      </c>
      <c r="N71" s="57">
        <v>350</v>
      </c>
      <c r="O71" s="57">
        <v>250</v>
      </c>
      <c r="P71" s="57">
        <v>200</v>
      </c>
      <c r="Q71" s="57">
        <v>250</v>
      </c>
      <c r="R71" s="57">
        <v>200</v>
      </c>
      <c r="S71" s="57">
        <v>200</v>
      </c>
      <c r="T71" s="57">
        <v>250</v>
      </c>
      <c r="U71" s="57">
        <v>350</v>
      </c>
      <c r="V71" s="57">
        <v>400</v>
      </c>
      <c r="W71" s="57">
        <v>500</v>
      </c>
      <c r="X71" s="57">
        <v>550</v>
      </c>
      <c r="Y71" s="57">
        <v>500</v>
      </c>
      <c r="Z71" s="57">
        <v>550</v>
      </c>
      <c r="AA71" s="57">
        <v>500</v>
      </c>
      <c r="AB71" s="57">
        <v>450</v>
      </c>
      <c r="AC71" s="57">
        <v>500</v>
      </c>
      <c r="AD71" s="57">
        <v>450</v>
      </c>
      <c r="AE71" s="57">
        <v>420</v>
      </c>
      <c r="AF71" s="57">
        <v>460</v>
      </c>
      <c r="AG71" s="57">
        <v>430</v>
      </c>
      <c r="AH71" s="57">
        <v>450</v>
      </c>
      <c r="AI71" s="57">
        <v>500</v>
      </c>
      <c r="AJ71" s="57">
        <v>550</v>
      </c>
      <c r="AK71" s="57">
        <v>500</v>
      </c>
      <c r="AL71" s="57">
        <v>550</v>
      </c>
      <c r="AM71" s="57">
        <v>525</v>
      </c>
      <c r="AN71" s="57">
        <v>450</v>
      </c>
      <c r="AO71" s="57">
        <v>550</v>
      </c>
      <c r="AP71" s="57">
        <v>500</v>
      </c>
      <c r="AQ71" s="57">
        <v>470</v>
      </c>
      <c r="AR71" s="57">
        <v>500</v>
      </c>
      <c r="AS71" s="57">
        <v>550</v>
      </c>
      <c r="AT71" s="57">
        <v>560</v>
      </c>
      <c r="AU71" s="57">
        <v>570</v>
      </c>
      <c r="AV71" s="57">
        <v>510</v>
      </c>
      <c r="AW71" s="57">
        <v>450</v>
      </c>
      <c r="AX71" s="57">
        <v>500</v>
      </c>
      <c r="AY71" s="57">
        <v>475</v>
      </c>
      <c r="AZ71" s="57">
        <v>400</v>
      </c>
      <c r="BA71" s="57">
        <v>450</v>
      </c>
      <c r="BB71" s="57">
        <v>400</v>
      </c>
      <c r="BC71" s="57">
        <v>350</v>
      </c>
      <c r="BD71" s="57">
        <v>400</v>
      </c>
      <c r="BE71" s="57">
        <v>320</v>
      </c>
      <c r="BF71" s="57">
        <v>240</v>
      </c>
      <c r="BG71" s="57">
        <v>200</v>
      </c>
      <c r="BH71" s="57">
        <v>450</v>
      </c>
      <c r="BI71" s="57">
        <v>400</v>
      </c>
      <c r="BJ71" s="57">
        <v>450</v>
      </c>
      <c r="BK71" s="57">
        <v>420</v>
      </c>
      <c r="BL71" s="57">
        <v>390</v>
      </c>
      <c r="BM71" s="57">
        <v>430</v>
      </c>
      <c r="BN71" s="57">
        <v>360</v>
      </c>
      <c r="BO71" s="57">
        <v>320</v>
      </c>
      <c r="BP71" s="57">
        <v>350</v>
      </c>
      <c r="BQ71" s="57">
        <v>310</v>
      </c>
      <c r="BR71" s="57">
        <v>230</v>
      </c>
      <c r="BS71" s="57">
        <v>210</v>
      </c>
      <c r="BT71" s="57">
        <v>250</v>
      </c>
      <c r="BU71" s="57">
        <v>200</v>
      </c>
      <c r="BV71" s="57">
        <v>250</v>
      </c>
      <c r="BW71" s="57">
        <v>230</v>
      </c>
      <c r="BX71" s="57">
        <v>210</v>
      </c>
      <c r="BY71" s="57">
        <v>250</v>
      </c>
      <c r="BZ71" s="57">
        <v>230</v>
      </c>
      <c r="CA71" s="57">
        <v>210</v>
      </c>
      <c r="CB71" s="57">
        <v>250</v>
      </c>
      <c r="CC71" s="57">
        <v>230</v>
      </c>
      <c r="CD71" s="57">
        <v>210</v>
      </c>
      <c r="CE71" s="57">
        <v>200</v>
      </c>
      <c r="CG71" s="54" t="s">
        <v>223</v>
      </c>
      <c r="CH71" s="57">
        <v>20486</v>
      </c>
      <c r="CI71" s="57">
        <v>19943</v>
      </c>
      <c r="CJ71" s="57">
        <v>21581</v>
      </c>
      <c r="CK71" s="57">
        <v>18277</v>
      </c>
      <c r="CL71" s="57">
        <v>20072</v>
      </c>
      <c r="CM71" s="57">
        <v>20072</v>
      </c>
      <c r="CN71" s="57">
        <v>22072</v>
      </c>
      <c r="CO71" s="57">
        <v>21358</v>
      </c>
      <c r="CP71" s="57">
        <v>18137</v>
      </c>
      <c r="CQ71" s="57">
        <v>10624</v>
      </c>
      <c r="CR71" s="57">
        <v>17062</v>
      </c>
      <c r="CS71" s="57">
        <v>22105</v>
      </c>
      <c r="CT71" s="57">
        <v>13043</v>
      </c>
      <c r="CU71" s="57">
        <v>12699</v>
      </c>
      <c r="CV71" s="57">
        <v>10841</v>
      </c>
      <c r="CW71" s="57">
        <v>2529</v>
      </c>
      <c r="CX71" s="57">
        <v>7792</v>
      </c>
      <c r="CY71" s="57">
        <v>22790</v>
      </c>
      <c r="CZ71" s="57">
        <v>8065</v>
      </c>
      <c r="DA71" s="57">
        <v>10726</v>
      </c>
      <c r="DB71" s="57">
        <v>21912</v>
      </c>
      <c r="DC71" s="57">
        <v>16074</v>
      </c>
      <c r="DD71" s="57">
        <v>12687</v>
      </c>
      <c r="DE71" s="57">
        <v>12541</v>
      </c>
      <c r="DF71" s="57">
        <v>969</v>
      </c>
      <c r="DG71" s="57">
        <v>1063</v>
      </c>
      <c r="DH71" s="57">
        <v>2286</v>
      </c>
      <c r="DI71" s="57">
        <v>1383</v>
      </c>
      <c r="DJ71" s="57">
        <v>1570</v>
      </c>
      <c r="DK71" s="57">
        <v>1845</v>
      </c>
      <c r="DL71" s="57">
        <v>2519</v>
      </c>
      <c r="DM71" s="57">
        <v>805</v>
      </c>
      <c r="DN71" s="57">
        <v>2120</v>
      </c>
      <c r="DO71" s="57">
        <v>1827</v>
      </c>
      <c r="DP71" s="57">
        <v>1617</v>
      </c>
      <c r="DQ71" s="57">
        <v>1594</v>
      </c>
    </row>
    <row r="72" spans="1:121" ht="12" customHeight="1" x14ac:dyDescent="0.25">
      <c r="A72" s="59" t="s">
        <v>68</v>
      </c>
      <c r="B72" s="60">
        <f t="shared" ref="B72:K72" si="0">SUM(B59:B71)</f>
        <v>986740</v>
      </c>
      <c r="C72" s="60">
        <f t="shared" si="0"/>
        <v>920135</v>
      </c>
      <c r="D72" s="60">
        <f t="shared" si="0"/>
        <v>1485323</v>
      </c>
      <c r="E72" s="60">
        <f t="shared" si="0"/>
        <v>1054771</v>
      </c>
      <c r="F72" s="60">
        <f t="shared" si="0"/>
        <v>980107</v>
      </c>
      <c r="G72" s="60">
        <f t="shared" si="0"/>
        <v>715549</v>
      </c>
      <c r="H72" s="60">
        <f t="shared" si="0"/>
        <v>1128758</v>
      </c>
      <c r="I72" s="60">
        <f t="shared" si="0"/>
        <v>990387</v>
      </c>
      <c r="J72" s="60">
        <f t="shared" si="0"/>
        <v>963449</v>
      </c>
      <c r="K72" s="60">
        <f t="shared" si="0"/>
        <v>835076</v>
      </c>
      <c r="L72" s="60">
        <f t="shared" ref="L72:AI72" si="1">SUM(L59:L71)</f>
        <v>913203</v>
      </c>
      <c r="M72" s="60">
        <f t="shared" si="1"/>
        <v>825017</v>
      </c>
      <c r="N72" s="60">
        <f t="shared" si="1"/>
        <v>1344889</v>
      </c>
      <c r="O72" s="60">
        <f t="shared" si="1"/>
        <v>1076612</v>
      </c>
      <c r="P72" s="60">
        <f t="shared" si="1"/>
        <v>1079873</v>
      </c>
      <c r="Q72" s="60">
        <f t="shared" si="1"/>
        <v>1171670</v>
      </c>
      <c r="R72" s="60">
        <f t="shared" si="1"/>
        <v>1020543</v>
      </c>
      <c r="S72" s="60">
        <f t="shared" si="1"/>
        <v>682220</v>
      </c>
      <c r="T72" s="60">
        <f t="shared" si="1"/>
        <v>1195956</v>
      </c>
      <c r="U72" s="60">
        <f t="shared" si="1"/>
        <v>1043506</v>
      </c>
      <c r="V72" s="60">
        <f t="shared" si="1"/>
        <v>973824</v>
      </c>
      <c r="W72" s="60">
        <f t="shared" si="1"/>
        <v>951305</v>
      </c>
      <c r="X72" s="60">
        <f t="shared" si="1"/>
        <v>959806</v>
      </c>
      <c r="Y72" s="60">
        <f t="shared" si="1"/>
        <v>890748</v>
      </c>
      <c r="Z72" s="60">
        <f t="shared" si="1"/>
        <v>1483121</v>
      </c>
      <c r="AA72" s="60">
        <f t="shared" si="1"/>
        <v>1127837</v>
      </c>
      <c r="AB72" s="60">
        <f t="shared" si="1"/>
        <v>1130642</v>
      </c>
      <c r="AC72" s="60">
        <f t="shared" si="1"/>
        <v>1228136</v>
      </c>
      <c r="AD72" s="60">
        <f t="shared" si="1"/>
        <v>1083558</v>
      </c>
      <c r="AE72" s="60">
        <f t="shared" si="1"/>
        <v>697910</v>
      </c>
      <c r="AF72" s="60">
        <f t="shared" si="1"/>
        <v>1268320</v>
      </c>
      <c r="AG72" s="60">
        <f t="shared" si="1"/>
        <v>1119610</v>
      </c>
      <c r="AH72" s="60">
        <f t="shared" si="1"/>
        <v>990197</v>
      </c>
      <c r="AI72" s="60">
        <f t="shared" si="1"/>
        <v>989851</v>
      </c>
      <c r="AJ72" s="60">
        <f>SUM(AJ59:AJ71)</f>
        <v>1019704</v>
      </c>
      <c r="AK72" s="60">
        <f>SUM(AK59:AK71)</f>
        <v>959962</v>
      </c>
      <c r="AL72" s="60">
        <f>SUM(AL59:AL71)</f>
        <v>1644657</v>
      </c>
      <c r="AM72" s="60">
        <f>SUM(AM59:AM71)</f>
        <v>1207801</v>
      </c>
      <c r="AN72" s="60">
        <f t="shared" ref="AN72:BR72" si="2">SUM(AN59:AN71)</f>
        <v>1145277</v>
      </c>
      <c r="AO72" s="60">
        <f t="shared" si="2"/>
        <v>1410084</v>
      </c>
      <c r="AP72" s="60">
        <f t="shared" si="2"/>
        <v>1173839</v>
      </c>
      <c r="AQ72" s="60">
        <f t="shared" si="2"/>
        <v>771389</v>
      </c>
      <c r="AR72" s="60">
        <f t="shared" si="2"/>
        <v>1396108</v>
      </c>
      <c r="AS72" s="60">
        <f t="shared" si="2"/>
        <v>1139878</v>
      </c>
      <c r="AT72" s="60">
        <f t="shared" si="2"/>
        <v>1118637</v>
      </c>
      <c r="AU72" s="60">
        <f t="shared" si="2"/>
        <v>1750546</v>
      </c>
      <c r="AV72" s="60">
        <f t="shared" si="2"/>
        <v>1085567</v>
      </c>
      <c r="AW72" s="60">
        <f t="shared" si="2"/>
        <v>1084904</v>
      </c>
      <c r="AX72" s="60">
        <f t="shared" si="2"/>
        <v>1739753</v>
      </c>
      <c r="AY72" s="60">
        <f t="shared" si="2"/>
        <v>1313192</v>
      </c>
      <c r="AZ72" s="60">
        <f t="shared" si="2"/>
        <v>1326746</v>
      </c>
      <c r="BA72" s="60">
        <f t="shared" si="2"/>
        <v>1502514</v>
      </c>
      <c r="BB72" s="60">
        <f t="shared" si="2"/>
        <v>1151124</v>
      </c>
      <c r="BC72" s="60">
        <f t="shared" si="2"/>
        <v>844156</v>
      </c>
      <c r="BD72" s="60">
        <f t="shared" si="2"/>
        <v>1487659</v>
      </c>
      <c r="BE72" s="60">
        <f t="shared" si="2"/>
        <v>1143466</v>
      </c>
      <c r="BF72" s="60">
        <f t="shared" si="2"/>
        <v>1184841</v>
      </c>
      <c r="BG72" s="60">
        <f t="shared" si="2"/>
        <v>1191660</v>
      </c>
      <c r="BH72" s="60">
        <f t="shared" si="2"/>
        <v>1195256</v>
      </c>
      <c r="BI72" s="60">
        <f t="shared" si="2"/>
        <v>1105622</v>
      </c>
      <c r="BJ72" s="60">
        <f t="shared" si="2"/>
        <v>1913464</v>
      </c>
      <c r="BK72" s="60">
        <f t="shared" si="2"/>
        <v>1237275</v>
      </c>
      <c r="BL72" s="60">
        <f t="shared" si="2"/>
        <v>1421362</v>
      </c>
      <c r="BM72" s="60">
        <f t="shared" si="2"/>
        <v>1536149</v>
      </c>
      <c r="BN72" s="60">
        <f t="shared" si="2"/>
        <v>1186000</v>
      </c>
      <c r="BO72" s="60">
        <f t="shared" si="2"/>
        <v>900496</v>
      </c>
      <c r="BP72" s="60">
        <f t="shared" si="2"/>
        <v>1458845</v>
      </c>
      <c r="BQ72" s="60">
        <f t="shared" si="2"/>
        <v>1208023</v>
      </c>
      <c r="BR72" s="60">
        <f t="shared" si="2"/>
        <v>1242078</v>
      </c>
      <c r="BS72" s="60">
        <v>1125794</v>
      </c>
      <c r="BT72" s="60">
        <v>1273935</v>
      </c>
      <c r="BU72" s="60">
        <v>1158461</v>
      </c>
      <c r="BV72" s="60">
        <v>1834707</v>
      </c>
      <c r="BW72" s="60">
        <v>1337081</v>
      </c>
      <c r="BX72" s="60">
        <v>1422385</v>
      </c>
      <c r="BY72" s="60">
        <v>1603472</v>
      </c>
      <c r="BZ72" s="60">
        <v>1304308</v>
      </c>
      <c r="CA72" s="60">
        <v>1139323</v>
      </c>
      <c r="CB72" s="60">
        <v>1134394</v>
      </c>
      <c r="CC72" s="60">
        <v>1116988</v>
      </c>
      <c r="CD72" s="60">
        <v>1155310</v>
      </c>
      <c r="CE72" s="60">
        <v>1038658</v>
      </c>
      <c r="CG72" s="54" t="s">
        <v>224</v>
      </c>
      <c r="CH72" s="57">
        <v>3025</v>
      </c>
      <c r="CI72" s="57">
        <v>2509</v>
      </c>
      <c r="CJ72" s="57">
        <v>2872</v>
      </c>
      <c r="CK72" s="57">
        <v>3077</v>
      </c>
      <c r="CL72" s="57">
        <v>2871</v>
      </c>
      <c r="CM72" s="57">
        <v>2871</v>
      </c>
      <c r="CN72" s="57">
        <v>2871</v>
      </c>
      <c r="CO72" s="57">
        <v>2871</v>
      </c>
      <c r="CP72" s="57">
        <v>3210</v>
      </c>
      <c r="CQ72" s="57">
        <v>1808</v>
      </c>
      <c r="CR72" s="57">
        <v>2800</v>
      </c>
      <c r="CS72" s="57">
        <v>1696</v>
      </c>
      <c r="CT72" s="57">
        <v>1510</v>
      </c>
      <c r="CU72" s="57">
        <v>1111</v>
      </c>
      <c r="CV72" s="57">
        <v>1585</v>
      </c>
      <c r="CW72" s="57">
        <v>597</v>
      </c>
      <c r="CX72" s="57">
        <v>1443</v>
      </c>
      <c r="CY72" s="57">
        <v>5885</v>
      </c>
      <c r="CZ72" s="57">
        <v>2234</v>
      </c>
      <c r="DA72" s="57">
        <v>1223</v>
      </c>
      <c r="DB72" s="57">
        <v>2240</v>
      </c>
      <c r="DC72" s="57">
        <v>2070</v>
      </c>
      <c r="DD72" s="57">
        <v>911</v>
      </c>
      <c r="DE72" s="57">
        <v>1990</v>
      </c>
      <c r="DF72" s="57">
        <v>9500</v>
      </c>
      <c r="DG72" s="57">
        <v>8100</v>
      </c>
      <c r="DH72" s="57">
        <v>29491</v>
      </c>
      <c r="DI72" s="57">
        <v>18344</v>
      </c>
      <c r="DJ72" s="57">
        <v>15272</v>
      </c>
      <c r="DK72" s="57">
        <v>13622</v>
      </c>
      <c r="DL72" s="57">
        <v>5716</v>
      </c>
      <c r="DM72" s="57">
        <v>12132</v>
      </c>
      <c r="DN72" s="57">
        <v>12979</v>
      </c>
      <c r="DO72" s="57">
        <v>7696</v>
      </c>
      <c r="DP72" s="57">
        <v>8419</v>
      </c>
      <c r="DQ72" s="57">
        <v>9513</v>
      </c>
    </row>
    <row r="73" spans="1:121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 t="s">
        <v>0</v>
      </c>
      <c r="AD73" s="3"/>
      <c r="AE73" s="3"/>
      <c r="AF73" s="2"/>
      <c r="AG73" s="2"/>
      <c r="AH73" s="2"/>
      <c r="AI73" s="2" t="s">
        <v>0</v>
      </c>
      <c r="AJ73" s="2" t="s">
        <v>0</v>
      </c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49"/>
      <c r="BH73" s="3"/>
      <c r="BI73" s="3"/>
      <c r="CG73" s="54" t="s">
        <v>63</v>
      </c>
      <c r="CH73" s="57">
        <v>19810</v>
      </c>
      <c r="CI73" s="57">
        <v>12917</v>
      </c>
      <c r="CJ73" s="57">
        <v>38904</v>
      </c>
      <c r="CK73" s="57">
        <v>16127</v>
      </c>
      <c r="CL73" s="57">
        <v>17443</v>
      </c>
      <c r="CM73" s="57">
        <v>20101</v>
      </c>
      <c r="CN73" s="57">
        <v>13881</v>
      </c>
      <c r="CO73" s="57">
        <v>9178</v>
      </c>
      <c r="CP73" s="57">
        <v>29603</v>
      </c>
      <c r="CQ73" s="57">
        <v>16110</v>
      </c>
      <c r="CR73" s="57">
        <v>17031</v>
      </c>
      <c r="CS73" s="57">
        <v>17521</v>
      </c>
      <c r="CT73" s="57">
        <v>18438</v>
      </c>
      <c r="CU73" s="57">
        <v>11530</v>
      </c>
      <c r="CV73" s="57">
        <v>23383</v>
      </c>
      <c r="CW73" s="57">
        <v>2852</v>
      </c>
      <c r="CX73" s="57">
        <v>7454</v>
      </c>
      <c r="CY73" s="57">
        <v>5371</v>
      </c>
      <c r="CZ73" s="57">
        <v>15607</v>
      </c>
      <c r="DA73" s="57">
        <v>11895</v>
      </c>
      <c r="DB73" s="57">
        <v>21690</v>
      </c>
      <c r="DC73" s="57">
        <v>12707</v>
      </c>
      <c r="DD73" s="57">
        <v>15190</v>
      </c>
      <c r="DE73" s="57">
        <v>13306</v>
      </c>
      <c r="DF73" s="57">
        <v>1694</v>
      </c>
      <c r="DG73" s="57">
        <v>5535</v>
      </c>
      <c r="DH73" s="57">
        <v>24013</v>
      </c>
      <c r="DI73" s="57">
        <v>2096</v>
      </c>
      <c r="DJ73" s="57">
        <v>8076</v>
      </c>
      <c r="DK73" s="57">
        <v>25657</v>
      </c>
      <c r="DL73" s="57">
        <v>840</v>
      </c>
      <c r="DM73" s="57">
        <v>11339</v>
      </c>
      <c r="DN73" s="57">
        <v>28846</v>
      </c>
      <c r="DO73" s="57">
        <v>8170</v>
      </c>
      <c r="DP73" s="57">
        <v>16167</v>
      </c>
      <c r="DQ73" s="57">
        <v>35262</v>
      </c>
    </row>
    <row r="74" spans="1:121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"/>
      <c r="AE74" s="3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49"/>
      <c r="CG74" s="54" t="s">
        <v>225</v>
      </c>
      <c r="CH74" s="57">
        <v>765</v>
      </c>
      <c r="CI74" s="57">
        <v>3110</v>
      </c>
      <c r="CJ74" s="57">
        <v>11084</v>
      </c>
      <c r="CK74" s="57">
        <v>3325</v>
      </c>
      <c r="CL74" s="57">
        <v>3225</v>
      </c>
      <c r="CM74" s="57">
        <v>9256</v>
      </c>
      <c r="CN74" s="57">
        <v>18527</v>
      </c>
      <c r="CO74" s="57">
        <v>6577</v>
      </c>
      <c r="CP74" s="57">
        <v>14445</v>
      </c>
      <c r="CQ74" s="57">
        <v>8448</v>
      </c>
      <c r="CR74" s="57">
        <v>9760</v>
      </c>
      <c r="CS74" s="57">
        <v>28000</v>
      </c>
      <c r="CT74" s="57">
        <v>1652</v>
      </c>
      <c r="CU74" s="57">
        <v>3778</v>
      </c>
      <c r="CV74" s="57">
        <v>17890</v>
      </c>
      <c r="CW74" s="57">
        <v>2657</v>
      </c>
      <c r="CX74" s="57">
        <v>2039</v>
      </c>
      <c r="CY74" s="57">
        <v>9285</v>
      </c>
      <c r="CZ74" s="57">
        <v>990</v>
      </c>
      <c r="DA74" s="57">
        <v>6874</v>
      </c>
      <c r="DB74" s="57">
        <v>18782</v>
      </c>
      <c r="DC74" s="57">
        <v>1649</v>
      </c>
      <c r="DD74" s="57">
        <v>5578</v>
      </c>
      <c r="DE74" s="57">
        <v>27074</v>
      </c>
      <c r="DF74" s="57">
        <v>3214</v>
      </c>
      <c r="DG74" s="57">
        <v>4286</v>
      </c>
      <c r="DH74" s="57">
        <v>7600</v>
      </c>
      <c r="DI74" s="57">
        <v>5195</v>
      </c>
      <c r="DJ74" s="57">
        <v>9476</v>
      </c>
      <c r="DK74" s="57">
        <v>11209</v>
      </c>
      <c r="DL74" s="57">
        <v>4442</v>
      </c>
      <c r="DM74" s="57">
        <v>6274</v>
      </c>
      <c r="DN74" s="57">
        <v>11221</v>
      </c>
      <c r="DO74" s="57">
        <v>14052</v>
      </c>
      <c r="DP74" s="57">
        <v>6507</v>
      </c>
      <c r="DQ74" s="57">
        <v>8796</v>
      </c>
    </row>
    <row r="75" spans="1:121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"/>
      <c r="AE75" s="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49"/>
      <c r="CG75" s="54" t="s">
        <v>14</v>
      </c>
      <c r="CH75" s="57">
        <v>300</v>
      </c>
      <c r="CI75" s="57">
        <v>350</v>
      </c>
      <c r="CJ75" s="57">
        <v>400</v>
      </c>
      <c r="CK75" s="57">
        <v>450</v>
      </c>
      <c r="CL75" s="57">
        <v>550</v>
      </c>
      <c r="CM75" s="57">
        <v>650</v>
      </c>
      <c r="CN75" s="57">
        <v>550</v>
      </c>
      <c r="CO75" s="57">
        <v>450</v>
      </c>
      <c r="CP75" s="57">
        <v>1540</v>
      </c>
      <c r="CQ75" s="57">
        <v>2423</v>
      </c>
      <c r="CR75" s="57">
        <v>2618</v>
      </c>
      <c r="CS75" s="57">
        <v>14787</v>
      </c>
      <c r="CT75" s="57">
        <v>2269</v>
      </c>
      <c r="CU75" s="57">
        <v>1068</v>
      </c>
      <c r="CV75" s="57">
        <v>3099</v>
      </c>
      <c r="CW75" s="57">
        <f>127+151</f>
        <v>278</v>
      </c>
      <c r="CX75" s="57">
        <v>163</v>
      </c>
      <c r="CY75" s="57">
        <v>3123</v>
      </c>
      <c r="CZ75" s="57">
        <v>4000</v>
      </c>
      <c r="DA75" s="57">
        <v>5000</v>
      </c>
      <c r="DB75" s="57">
        <v>7811</v>
      </c>
      <c r="DC75" s="57">
        <v>5297</v>
      </c>
      <c r="DD75" s="57">
        <f>37878-32108</f>
        <v>5770</v>
      </c>
      <c r="DE75" s="57">
        <v>14258</v>
      </c>
      <c r="DF75" s="57">
        <v>4025</v>
      </c>
      <c r="DG75" s="57">
        <v>5811</v>
      </c>
      <c r="DH75" s="57">
        <v>9290</v>
      </c>
      <c r="DI75" s="57">
        <v>2982</v>
      </c>
      <c r="DJ75" s="57">
        <v>13504</v>
      </c>
      <c r="DK75" s="57">
        <v>4696</v>
      </c>
      <c r="DL75" s="57">
        <v>1702</v>
      </c>
      <c r="DM75" s="57">
        <f>13720-2393</f>
        <v>11327</v>
      </c>
      <c r="DN75" s="57">
        <v>5081</v>
      </c>
      <c r="DO75" s="57">
        <v>4039</v>
      </c>
      <c r="DP75" s="57">
        <v>5774</v>
      </c>
      <c r="DQ75" s="57">
        <v>7371</v>
      </c>
    </row>
    <row r="76" spans="1:121" x14ac:dyDescent="0.25">
      <c r="CG76" s="59" t="s">
        <v>68</v>
      </c>
      <c r="CH76" s="60">
        <v>1213387</v>
      </c>
      <c r="CI76" s="60">
        <v>1138943</v>
      </c>
      <c r="CJ76" s="60">
        <v>1756027</v>
      </c>
      <c r="CK76" s="60">
        <v>1336048</v>
      </c>
      <c r="CL76" s="60">
        <v>1428098</v>
      </c>
      <c r="CM76" s="60">
        <v>1484171</v>
      </c>
      <c r="CN76" s="60">
        <v>1320983</v>
      </c>
      <c r="CO76" s="60">
        <v>1042059</v>
      </c>
      <c r="CP76" s="60">
        <v>1298519</v>
      </c>
      <c r="CQ76" s="60">
        <v>1214407</v>
      </c>
      <c r="CR76" s="60">
        <v>1215110</v>
      </c>
      <c r="CS76" s="60">
        <v>1261373</v>
      </c>
      <c r="CT76" s="60">
        <v>1261373</v>
      </c>
      <c r="CU76" s="60">
        <v>1261373</v>
      </c>
      <c r="CV76" s="60">
        <v>1261373</v>
      </c>
      <c r="CW76" s="60">
        <v>1261373</v>
      </c>
      <c r="CX76" s="60">
        <v>1261373</v>
      </c>
      <c r="CY76" s="60">
        <v>1261373</v>
      </c>
      <c r="CZ76" s="60">
        <v>1261373</v>
      </c>
      <c r="DA76" s="60">
        <v>1261373</v>
      </c>
      <c r="DB76" s="60">
        <v>1261373</v>
      </c>
      <c r="DC76" s="60">
        <v>1261373</v>
      </c>
      <c r="DD76" s="60">
        <v>1261373</v>
      </c>
      <c r="DE76" s="60">
        <v>1261373</v>
      </c>
      <c r="DF76" s="60">
        <f t="shared" ref="DF76:DQ76" si="3">SUM(DF59:DF75)</f>
        <v>842252</v>
      </c>
      <c r="DG76" s="60">
        <f t="shared" si="3"/>
        <v>849684</v>
      </c>
      <c r="DH76" s="60">
        <f t="shared" si="3"/>
        <v>1387020</v>
      </c>
      <c r="DI76" s="60">
        <f t="shared" si="3"/>
        <v>1040894</v>
      </c>
      <c r="DJ76" s="60">
        <f t="shared" si="3"/>
        <v>1082787</v>
      </c>
      <c r="DK76" s="60">
        <f t="shared" si="3"/>
        <v>1280163</v>
      </c>
      <c r="DL76" s="60">
        <f t="shared" si="3"/>
        <v>975672</v>
      </c>
      <c r="DM76" s="60">
        <f t="shared" si="3"/>
        <v>721865</v>
      </c>
      <c r="DN76" s="60">
        <f t="shared" si="3"/>
        <v>972211</v>
      </c>
      <c r="DO76" s="60">
        <f t="shared" si="3"/>
        <v>797850</v>
      </c>
      <c r="DP76" s="60">
        <f t="shared" si="3"/>
        <v>862309</v>
      </c>
      <c r="DQ76" s="60">
        <f t="shared" si="3"/>
        <v>949861</v>
      </c>
    </row>
    <row r="79" spans="1:121" x14ac:dyDescent="0.25">
      <c r="BP79" s="3" t="s">
        <v>0</v>
      </c>
    </row>
    <row r="82" spans="21:21" x14ac:dyDescent="0.25">
      <c r="U82" s="3" t="s">
        <v>0</v>
      </c>
    </row>
  </sheetData>
  <mergeCells count="1">
    <mergeCell ref="N2:O3"/>
  </mergeCells>
  <conditionalFormatting sqref="F10:F29">
    <cfRule type="dataBar" priority="27">
      <dataBar showValue="0">
        <cfvo type="min"/>
        <cfvo type="max"/>
        <color rgb="FF3BAC36"/>
      </dataBar>
      <extLst>
        <ext xmlns:x14="http://schemas.microsoft.com/office/spreadsheetml/2009/9/main" uri="{B025F937-C7B1-47D3-B67F-A62EFF666E3E}">
          <x14:id>{C655C3D4-58ED-4F05-8045-B15C6861A997}</x14:id>
        </ext>
      </extLst>
    </cfRule>
  </conditionalFormatting>
  <conditionalFormatting sqref="G10:G29">
    <cfRule type="dataBar" priority="29">
      <dataBar showValue="0">
        <cfvo type="min"/>
        <cfvo type="max"/>
        <color rgb="FF3BAC36"/>
      </dataBar>
      <extLst>
        <ext xmlns:x14="http://schemas.microsoft.com/office/spreadsheetml/2009/9/main" uri="{B025F937-C7B1-47D3-B67F-A62EFF666E3E}">
          <x14:id>{5854D681-CFF5-4452-BD84-32766A20D64F}</x14:id>
        </ext>
      </extLst>
    </cfRule>
  </conditionalFormatting>
  <hyperlinks>
    <hyperlink ref="A5" location="Content!A1" display="Back to content" xr:uid="{00000000-0004-0000-0600-000000000000}"/>
  </hyperlink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55C3D4-58ED-4F05-8045-B15C6861A9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F10:F29</xm:sqref>
        </x14:conditionalFormatting>
        <x14:conditionalFormatting xmlns:xm="http://schemas.microsoft.com/office/excel/2006/main">
          <x14:cfRule type="dataBar" id="{5854D681-CFF5-4452-BD84-32766A20D6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G10:G29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EA78"/>
  <sheetViews>
    <sheetView showGridLines="0" workbookViewId="0">
      <selection activeCell="A9" sqref="A9"/>
    </sheetView>
  </sheetViews>
  <sheetFormatPr defaultColWidth="9.109375" defaultRowHeight="13.2" x14ac:dyDescent="0.25"/>
  <cols>
    <col min="1" max="1" width="20" customWidth="1"/>
    <col min="2" max="119" width="11.6640625" customWidth="1"/>
  </cols>
  <sheetData>
    <row r="1" spans="1:86" x14ac:dyDescent="0.25">
      <c r="D1" t="s">
        <v>0</v>
      </c>
      <c r="E1" s="3" t="s">
        <v>0</v>
      </c>
      <c r="G1" t="s">
        <v>0</v>
      </c>
    </row>
    <row r="2" spans="1:86" x14ac:dyDescent="0.25">
      <c r="D2" s="3" t="s">
        <v>0</v>
      </c>
      <c r="E2" s="3" t="s">
        <v>0</v>
      </c>
      <c r="F2" s="3" t="s">
        <v>0</v>
      </c>
      <c r="N2" s="101"/>
      <c r="O2" s="101"/>
      <c r="AO2" s="3" t="s">
        <v>0</v>
      </c>
    </row>
    <row r="3" spans="1:86" x14ac:dyDescent="0.25">
      <c r="D3" t="s">
        <v>0</v>
      </c>
      <c r="E3" s="3" t="s">
        <v>0</v>
      </c>
      <c r="F3" s="3" t="s">
        <v>0</v>
      </c>
      <c r="G3" s="3" t="s">
        <v>0</v>
      </c>
      <c r="I3" s="3" t="s">
        <v>0</v>
      </c>
      <c r="J3" s="3" t="s">
        <v>0</v>
      </c>
      <c r="N3" s="101"/>
      <c r="O3" s="101"/>
      <c r="T3" t="s">
        <v>0</v>
      </c>
    </row>
    <row r="4" spans="1:86" x14ac:dyDescent="0.25">
      <c r="D4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t="s">
        <v>0</v>
      </c>
      <c r="N4" s="6"/>
      <c r="O4" s="6"/>
      <c r="T4" s="3" t="s">
        <v>0</v>
      </c>
    </row>
    <row r="5" spans="1:86" x14ac:dyDescent="0.25">
      <c r="A5" s="7" t="s">
        <v>70</v>
      </c>
      <c r="D5" s="3" t="s">
        <v>0</v>
      </c>
      <c r="F5" s="3" t="s">
        <v>0</v>
      </c>
      <c r="M5" s="6"/>
      <c r="N5" s="6"/>
      <c r="AA5" t="s">
        <v>0</v>
      </c>
    </row>
    <row r="6" spans="1:86" x14ac:dyDescent="0.25">
      <c r="A6" s="7"/>
      <c r="D6" s="3"/>
      <c r="F6" s="3"/>
      <c r="M6" s="6"/>
      <c r="N6" s="6"/>
      <c r="Z6" s="2" t="s">
        <v>0</v>
      </c>
      <c r="AA6" s="2" t="s">
        <v>0</v>
      </c>
    </row>
    <row r="7" spans="1:86" x14ac:dyDescent="0.25">
      <c r="A7" s="7"/>
      <c r="D7" s="3"/>
      <c r="F7" s="3"/>
      <c r="M7" s="6"/>
      <c r="N7" s="6"/>
      <c r="Z7" s="2"/>
      <c r="AA7" s="2"/>
    </row>
    <row r="8" spans="1:86" x14ac:dyDescent="0.25">
      <c r="A8" s="7"/>
      <c r="D8" s="3"/>
      <c r="F8" s="3"/>
      <c r="M8" s="6"/>
      <c r="N8" s="6"/>
    </row>
    <row r="9" spans="1:86" ht="187.2" x14ac:dyDescent="0.25">
      <c r="A9" s="52" t="s">
        <v>51</v>
      </c>
      <c r="B9" s="81" t="s">
        <v>293</v>
      </c>
      <c r="C9" s="81" t="s">
        <v>294</v>
      </c>
      <c r="D9" s="81" t="s">
        <v>295</v>
      </c>
      <c r="E9" s="82" t="s">
        <v>30</v>
      </c>
      <c r="F9" s="81" t="s">
        <v>295</v>
      </c>
      <c r="G9" s="82" t="s">
        <v>30</v>
      </c>
      <c r="H9" s="80" t="s">
        <v>272</v>
      </c>
      <c r="I9" s="80" t="s">
        <v>274</v>
      </c>
      <c r="J9" s="80" t="s">
        <v>275</v>
      </c>
      <c r="K9" s="80" t="s">
        <v>276</v>
      </c>
      <c r="L9" s="80" t="s">
        <v>277</v>
      </c>
      <c r="M9" s="80" t="s">
        <v>278</v>
      </c>
      <c r="N9" s="80" t="s">
        <v>279</v>
      </c>
      <c r="O9" s="80" t="s">
        <v>280</v>
      </c>
      <c r="P9" s="80" t="s">
        <v>281</v>
      </c>
      <c r="Q9" s="80" t="s">
        <v>282</v>
      </c>
      <c r="R9" s="80" t="s">
        <v>283</v>
      </c>
      <c r="S9" s="80" t="s">
        <v>284</v>
      </c>
      <c r="T9" s="80" t="s">
        <v>287</v>
      </c>
      <c r="U9" s="80" t="s">
        <v>297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 t="s">
        <v>0</v>
      </c>
      <c r="BI9" s="2" t="s">
        <v>0</v>
      </c>
      <c r="BJ9" s="2" t="s">
        <v>0</v>
      </c>
      <c r="BK9" s="2" t="s">
        <v>0</v>
      </c>
      <c r="BL9" s="2" t="s">
        <v>0</v>
      </c>
      <c r="BM9" s="2" t="s">
        <v>0</v>
      </c>
      <c r="BN9" s="2" t="s">
        <v>0</v>
      </c>
      <c r="BO9" s="2" t="s">
        <v>0</v>
      </c>
      <c r="BP9" s="2" t="s">
        <v>0</v>
      </c>
      <c r="BQ9" s="2" t="s">
        <v>0</v>
      </c>
      <c r="BR9" s="2" t="s">
        <v>0</v>
      </c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2" customHeight="1" x14ac:dyDescent="0.3">
      <c r="A10" s="54" t="s">
        <v>155</v>
      </c>
      <c r="B10" s="55">
        <v>304156</v>
      </c>
      <c r="C10" s="55">
        <v>225393</v>
      </c>
      <c r="D10" s="55">
        <v>-78763</v>
      </c>
      <c r="E10" s="56">
        <v>-0.25895593050934385</v>
      </c>
      <c r="F10" s="55">
        <v>-78763</v>
      </c>
      <c r="G10" s="56">
        <v>-0.25895593050934385</v>
      </c>
      <c r="H10" s="57">
        <v>152078</v>
      </c>
      <c r="I10" s="57">
        <v>152078</v>
      </c>
      <c r="J10" s="57">
        <v>152078</v>
      </c>
      <c r="K10" s="57">
        <v>158263</v>
      </c>
      <c r="L10" s="57">
        <v>158263</v>
      </c>
      <c r="M10" s="57">
        <v>158263</v>
      </c>
      <c r="N10" s="57">
        <v>150198</v>
      </c>
      <c r="O10" s="57">
        <v>150198</v>
      </c>
      <c r="P10" s="57">
        <v>150198</v>
      </c>
      <c r="Q10" s="57">
        <v>163620</v>
      </c>
      <c r="R10" s="57">
        <v>163620</v>
      </c>
      <c r="S10" s="57">
        <v>163620</v>
      </c>
      <c r="T10" s="57">
        <v>109918</v>
      </c>
      <c r="U10" s="57">
        <v>115475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2" customHeight="1" x14ac:dyDescent="0.3">
      <c r="A11" s="54" t="s">
        <v>1</v>
      </c>
      <c r="B11" s="55">
        <v>35847</v>
      </c>
      <c r="C11" s="55">
        <v>39373</v>
      </c>
      <c r="D11" s="55">
        <v>3526</v>
      </c>
      <c r="E11" s="56">
        <v>9.8362485005718758E-2</v>
      </c>
      <c r="F11" s="55">
        <v>3526</v>
      </c>
      <c r="G11" s="56">
        <v>9.8362485005718758E-2</v>
      </c>
      <c r="H11" s="57">
        <v>13606</v>
      </c>
      <c r="I11" s="57">
        <v>22241</v>
      </c>
      <c r="J11" s="57">
        <v>24703</v>
      </c>
      <c r="K11" s="57">
        <v>20281</v>
      </c>
      <c r="L11" s="57">
        <v>24138</v>
      </c>
      <c r="M11" s="57">
        <v>25166</v>
      </c>
      <c r="N11" s="57">
        <v>26543</v>
      </c>
      <c r="O11" s="57">
        <v>20323</v>
      </c>
      <c r="P11" s="57">
        <v>17822</v>
      </c>
      <c r="Q11" s="57">
        <v>18756</v>
      </c>
      <c r="R11" s="57">
        <v>23616</v>
      </c>
      <c r="S11" s="57">
        <v>32237</v>
      </c>
      <c r="T11" s="57">
        <v>15660</v>
      </c>
      <c r="U11" s="57">
        <v>23713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2" customHeight="1" x14ac:dyDescent="0.3">
      <c r="A12" s="54" t="s">
        <v>4</v>
      </c>
      <c r="B12" s="55">
        <v>132913</v>
      </c>
      <c r="C12" s="55">
        <v>94946</v>
      </c>
      <c r="D12" s="55">
        <v>-37967</v>
      </c>
      <c r="E12" s="56">
        <v>-0.28565302114917279</v>
      </c>
      <c r="F12" s="55">
        <v>-37967</v>
      </c>
      <c r="G12" s="56">
        <v>-0.28565302114917279</v>
      </c>
      <c r="H12" s="57">
        <v>62468</v>
      </c>
      <c r="I12" s="57">
        <v>70445</v>
      </c>
      <c r="J12" s="57">
        <v>94551</v>
      </c>
      <c r="K12" s="57">
        <v>60067</v>
      </c>
      <c r="L12" s="57">
        <v>54688</v>
      </c>
      <c r="M12" s="57">
        <v>60686</v>
      </c>
      <c r="N12" s="57">
        <v>58056</v>
      </c>
      <c r="O12" s="57">
        <v>59805</v>
      </c>
      <c r="P12" s="57">
        <v>74094</v>
      </c>
      <c r="Q12" s="57">
        <v>63187</v>
      </c>
      <c r="R12" s="57">
        <v>67044</v>
      </c>
      <c r="S12" s="57">
        <v>61268</v>
      </c>
      <c r="T12" s="57">
        <v>49124</v>
      </c>
      <c r="U12" s="57">
        <v>45822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2" customHeight="1" x14ac:dyDescent="0.3">
      <c r="A13" s="54" t="s">
        <v>5</v>
      </c>
      <c r="B13" s="55">
        <v>420257</v>
      </c>
      <c r="C13" s="55">
        <v>383645</v>
      </c>
      <c r="D13" s="55">
        <v>-36612</v>
      </c>
      <c r="E13" s="56">
        <v>-8.7118120578598357E-2</v>
      </c>
      <c r="F13" s="55">
        <v>-36612</v>
      </c>
      <c r="G13" s="56">
        <v>-8.7118120578598357E-2</v>
      </c>
      <c r="H13" s="57">
        <v>207987</v>
      </c>
      <c r="I13" s="57">
        <v>212270</v>
      </c>
      <c r="J13" s="57">
        <v>242376</v>
      </c>
      <c r="K13" s="57">
        <v>249162</v>
      </c>
      <c r="L13" s="57">
        <v>256470</v>
      </c>
      <c r="M13" s="57">
        <v>266276</v>
      </c>
      <c r="N13" s="57">
        <v>239724</v>
      </c>
      <c r="O13" s="57">
        <v>244935</v>
      </c>
      <c r="P13" s="57">
        <v>244881</v>
      </c>
      <c r="Q13" s="57">
        <v>210421</v>
      </c>
      <c r="R13" s="57">
        <v>222851</v>
      </c>
      <c r="S13" s="57">
        <v>258424</v>
      </c>
      <c r="T13" s="57">
        <v>184861</v>
      </c>
      <c r="U13" s="57">
        <v>198784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2" customHeight="1" x14ac:dyDescent="0.3">
      <c r="A14" s="54" t="s">
        <v>6</v>
      </c>
      <c r="B14" s="55">
        <v>503878</v>
      </c>
      <c r="C14" s="55">
        <v>320101</v>
      </c>
      <c r="D14" s="55">
        <v>-183777</v>
      </c>
      <c r="E14" s="56">
        <v>-0.36472519141538229</v>
      </c>
      <c r="F14" s="55">
        <v>-183777</v>
      </c>
      <c r="G14" s="56">
        <v>-0.36472519141538229</v>
      </c>
      <c r="H14" s="57">
        <v>180369</v>
      </c>
      <c r="I14" s="57">
        <v>323509</v>
      </c>
      <c r="J14" s="57">
        <v>434088</v>
      </c>
      <c r="K14" s="57">
        <v>347625</v>
      </c>
      <c r="L14" s="57">
        <v>330491</v>
      </c>
      <c r="M14" s="57">
        <v>354505</v>
      </c>
      <c r="N14" s="57">
        <v>287083</v>
      </c>
      <c r="O14" s="57">
        <v>309618</v>
      </c>
      <c r="P14" s="57">
        <v>371140</v>
      </c>
      <c r="Q14" s="57">
        <v>364517</v>
      </c>
      <c r="R14" s="57">
        <v>365752</v>
      </c>
      <c r="S14" s="57">
        <v>362177</v>
      </c>
      <c r="T14" s="57">
        <v>174754</v>
      </c>
      <c r="U14" s="57">
        <v>145347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2" customHeight="1" x14ac:dyDescent="0.3">
      <c r="A15" s="54" t="s">
        <v>7</v>
      </c>
      <c r="B15" s="55">
        <v>42227</v>
      </c>
      <c r="C15" s="55">
        <v>30431</v>
      </c>
      <c r="D15" s="55">
        <v>-11796</v>
      </c>
      <c r="E15" s="56">
        <v>-0.27934733701186443</v>
      </c>
      <c r="F15" s="55">
        <v>-11796</v>
      </c>
      <c r="G15" s="56">
        <v>-0.27934733701186443</v>
      </c>
      <c r="H15" s="57">
        <v>15429</v>
      </c>
      <c r="I15" s="57">
        <v>26798</v>
      </c>
      <c r="J15" s="57">
        <v>26085</v>
      </c>
      <c r="K15" s="57">
        <v>22007</v>
      </c>
      <c r="L15" s="57">
        <v>21625</v>
      </c>
      <c r="M15" s="57">
        <v>21284</v>
      </c>
      <c r="N15" s="57">
        <v>22096</v>
      </c>
      <c r="O15" s="57">
        <v>17248</v>
      </c>
      <c r="P15" s="57">
        <v>17503</v>
      </c>
      <c r="Q15" s="57">
        <v>21636</v>
      </c>
      <c r="R15" s="57">
        <v>22928</v>
      </c>
      <c r="S15" s="57">
        <v>17631</v>
      </c>
      <c r="T15" s="57">
        <v>14768</v>
      </c>
      <c r="U15" s="57">
        <v>15663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2" customHeight="1" x14ac:dyDescent="0.3">
      <c r="A16" s="54" t="s">
        <v>8</v>
      </c>
      <c r="B16" s="55">
        <v>73020</v>
      </c>
      <c r="C16" s="55">
        <v>87983</v>
      </c>
      <c r="D16" s="55">
        <v>14963</v>
      </c>
      <c r="E16" s="56">
        <v>0.20491646124349483</v>
      </c>
      <c r="F16" s="55">
        <v>14963</v>
      </c>
      <c r="G16" s="56">
        <v>0.20491646124349483</v>
      </c>
      <c r="H16" s="57">
        <v>38955</v>
      </c>
      <c r="I16" s="57">
        <v>34065</v>
      </c>
      <c r="J16" s="57">
        <v>52735</v>
      </c>
      <c r="K16" s="57">
        <v>42557</v>
      </c>
      <c r="L16" s="57">
        <v>38873</v>
      </c>
      <c r="M16" s="57">
        <v>57657</v>
      </c>
      <c r="N16" s="57">
        <v>48861</v>
      </c>
      <c r="O16" s="57">
        <v>54239</v>
      </c>
      <c r="P16" s="57">
        <v>41747</v>
      </c>
      <c r="Q16" s="57">
        <v>64497</v>
      </c>
      <c r="R16" s="57">
        <v>51950</v>
      </c>
      <c r="S16" s="57">
        <v>61896</v>
      </c>
      <c r="T16" s="57">
        <v>43092</v>
      </c>
      <c r="U16" s="57">
        <v>44891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2" customHeight="1" x14ac:dyDescent="0.3">
      <c r="A17" s="54" t="s">
        <v>9</v>
      </c>
      <c r="B17" s="55">
        <v>185670</v>
      </c>
      <c r="C17" s="55">
        <v>188000</v>
      </c>
      <c r="D17" s="55">
        <v>2330</v>
      </c>
      <c r="E17" s="56">
        <v>1.2549146334895234E-2</v>
      </c>
      <c r="F17" s="55">
        <v>2330</v>
      </c>
      <c r="G17" s="56">
        <v>1.2549146334895234E-2</v>
      </c>
      <c r="H17" s="57">
        <v>94316</v>
      </c>
      <c r="I17" s="57">
        <v>91354</v>
      </c>
      <c r="J17" s="57">
        <v>93488</v>
      </c>
      <c r="K17" s="57">
        <v>109255</v>
      </c>
      <c r="L17" s="57">
        <v>101272</v>
      </c>
      <c r="M17" s="57">
        <v>102488</v>
      </c>
      <c r="N17" s="57">
        <v>124973</v>
      </c>
      <c r="O17" s="57">
        <v>131451</v>
      </c>
      <c r="P17" s="57">
        <v>84737</v>
      </c>
      <c r="Q17" s="57">
        <v>92419</v>
      </c>
      <c r="R17" s="57">
        <v>77723</v>
      </c>
      <c r="S17" s="57">
        <v>64302</v>
      </c>
      <c r="T17" s="100">
        <v>94000</v>
      </c>
      <c r="U17" s="100">
        <v>94000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2" customHeight="1" x14ac:dyDescent="0.3">
      <c r="A18" s="54" t="s">
        <v>10</v>
      </c>
      <c r="B18" s="55">
        <v>174869</v>
      </c>
      <c r="C18" s="55">
        <v>205899</v>
      </c>
      <c r="D18" s="55">
        <v>31030</v>
      </c>
      <c r="E18" s="56">
        <v>0.17744711755657083</v>
      </c>
      <c r="F18" s="55">
        <v>31030</v>
      </c>
      <c r="G18" s="56">
        <v>0.17744711755657083</v>
      </c>
      <c r="H18" s="57">
        <v>84384</v>
      </c>
      <c r="I18" s="57">
        <v>90485</v>
      </c>
      <c r="J18" s="57">
        <v>124929</v>
      </c>
      <c r="K18" s="57">
        <v>124452</v>
      </c>
      <c r="L18" s="57">
        <v>134276</v>
      </c>
      <c r="M18" s="57">
        <v>132808</v>
      </c>
      <c r="N18" s="57">
        <v>121881</v>
      </c>
      <c r="O18" s="57">
        <v>129597</v>
      </c>
      <c r="P18" s="57">
        <v>130835</v>
      </c>
      <c r="Q18" s="57">
        <v>127270</v>
      </c>
      <c r="R18" s="57">
        <v>120897</v>
      </c>
      <c r="S18" s="57">
        <v>116342</v>
      </c>
      <c r="T18" s="57">
        <v>97199</v>
      </c>
      <c r="U18" s="57">
        <v>108700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" customHeight="1" x14ac:dyDescent="0.3">
      <c r="A19" s="54" t="s">
        <v>11</v>
      </c>
      <c r="B19" s="55">
        <v>107305</v>
      </c>
      <c r="C19" s="55">
        <v>129286</v>
      </c>
      <c r="D19" s="55">
        <v>21981</v>
      </c>
      <c r="E19" s="56">
        <v>0.20484599972042306</v>
      </c>
      <c r="F19" s="55">
        <v>21981</v>
      </c>
      <c r="G19" s="56">
        <v>0.20484599972042306</v>
      </c>
      <c r="H19" s="57">
        <v>53686</v>
      </c>
      <c r="I19" s="57">
        <v>53619</v>
      </c>
      <c r="J19" s="57">
        <v>63660</v>
      </c>
      <c r="K19" s="57">
        <v>57721</v>
      </c>
      <c r="L19" s="57">
        <v>60324</v>
      </c>
      <c r="M19" s="57">
        <v>64662</v>
      </c>
      <c r="N19" s="57">
        <v>63221</v>
      </c>
      <c r="O19" s="57">
        <v>63104</v>
      </c>
      <c r="P19" s="57">
        <v>67569</v>
      </c>
      <c r="Q19" s="57">
        <v>64817</v>
      </c>
      <c r="R19" s="57">
        <v>71140</v>
      </c>
      <c r="S19" s="57">
        <v>79819</v>
      </c>
      <c r="T19" s="57">
        <v>64123</v>
      </c>
      <c r="U19" s="57">
        <v>65163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" customHeight="1" x14ac:dyDescent="0.3">
      <c r="A20" s="54" t="s">
        <v>29</v>
      </c>
      <c r="B20" s="55">
        <v>20642</v>
      </c>
      <c r="C20" s="55">
        <v>18174</v>
      </c>
      <c r="D20" s="55">
        <v>-2468</v>
      </c>
      <c r="E20" s="56">
        <v>-0.11956205794012209</v>
      </c>
      <c r="F20" s="55">
        <v>-2468</v>
      </c>
      <c r="G20" s="56">
        <v>-0.11956205794012209</v>
      </c>
      <c r="H20" s="57">
        <v>12972</v>
      </c>
      <c r="I20" s="57">
        <v>7670</v>
      </c>
      <c r="J20" s="57">
        <v>9249</v>
      </c>
      <c r="K20" s="57">
        <v>10937</v>
      </c>
      <c r="L20" s="57">
        <v>13634</v>
      </c>
      <c r="M20" s="57">
        <v>12687</v>
      </c>
      <c r="N20" s="57">
        <v>13799</v>
      </c>
      <c r="O20" s="57">
        <v>13433</v>
      </c>
      <c r="P20" s="57">
        <v>13126</v>
      </c>
      <c r="Q20" s="57">
        <v>14212</v>
      </c>
      <c r="R20" s="57">
        <v>12534</v>
      </c>
      <c r="S20" s="57">
        <v>8265</v>
      </c>
      <c r="T20" s="57">
        <v>11101</v>
      </c>
      <c r="U20" s="57">
        <v>7073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2" customHeight="1" x14ac:dyDescent="0.3">
      <c r="A21" s="54" t="s">
        <v>28</v>
      </c>
      <c r="B21" s="55">
        <v>37296</v>
      </c>
      <c r="C21" s="55">
        <v>51158</v>
      </c>
      <c r="D21" s="55">
        <v>13862</v>
      </c>
      <c r="E21" s="56">
        <v>0.37167524667524665</v>
      </c>
      <c r="F21" s="55">
        <v>13862</v>
      </c>
      <c r="G21" s="56">
        <v>0.37167524667524665</v>
      </c>
      <c r="H21" s="57">
        <v>18546</v>
      </c>
      <c r="I21" s="57">
        <v>18750</v>
      </c>
      <c r="J21" s="57">
        <v>22012</v>
      </c>
      <c r="K21" s="57">
        <v>17060</v>
      </c>
      <c r="L21" s="57">
        <v>23824</v>
      </c>
      <c r="M21" s="57">
        <v>28833</v>
      </c>
      <c r="N21" s="57">
        <v>19244</v>
      </c>
      <c r="O21" s="57">
        <v>24031</v>
      </c>
      <c r="P21" s="57">
        <v>23793</v>
      </c>
      <c r="Q21" s="57">
        <v>25681</v>
      </c>
      <c r="R21" s="57">
        <v>26772</v>
      </c>
      <c r="S21" s="57">
        <v>25639</v>
      </c>
      <c r="T21" s="57">
        <v>23518</v>
      </c>
      <c r="U21" s="57">
        <v>27640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2" customHeight="1" x14ac:dyDescent="0.3">
      <c r="A22" s="59" t="s">
        <v>68</v>
      </c>
      <c r="B22" s="60">
        <v>2038080</v>
      </c>
      <c r="C22" s="60">
        <v>1774389</v>
      </c>
      <c r="D22" s="61">
        <v>-263691</v>
      </c>
      <c r="E22" s="62">
        <v>-0.12938206547338671</v>
      </c>
      <c r="F22" s="61">
        <v>-263691</v>
      </c>
      <c r="G22" s="62">
        <v>-0.12938206547338671</v>
      </c>
      <c r="H22" s="60">
        <v>934796</v>
      </c>
      <c r="I22" s="60">
        <v>1103284</v>
      </c>
      <c r="J22" s="60">
        <v>1339954</v>
      </c>
      <c r="K22" s="60">
        <v>1219387</v>
      </c>
      <c r="L22" s="60">
        <v>1217878</v>
      </c>
      <c r="M22" s="60">
        <v>1285315</v>
      </c>
      <c r="N22" s="60">
        <v>1175679</v>
      </c>
      <c r="O22" s="60">
        <v>1217982</v>
      </c>
      <c r="P22" s="60">
        <v>1237445</v>
      </c>
      <c r="Q22" s="60">
        <v>1231033</v>
      </c>
      <c r="R22" s="60">
        <v>1226827</v>
      </c>
      <c r="S22" s="60">
        <v>1251620</v>
      </c>
      <c r="T22" s="60">
        <v>882118</v>
      </c>
      <c r="U22" s="60">
        <v>892271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2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  <c r="Z23" s="12"/>
      <c r="AA23" s="3"/>
      <c r="AB23" s="3"/>
      <c r="AC23" s="3"/>
      <c r="AD23" s="3"/>
      <c r="AE23" s="3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2" customHeight="1" x14ac:dyDescent="0.25">
      <c r="A24" s="2"/>
      <c r="B24" s="2"/>
      <c r="C24" s="2"/>
      <c r="D24" s="2" t="s">
        <v>0</v>
      </c>
      <c r="E24" s="2" t="s">
        <v>0</v>
      </c>
      <c r="F24" s="2" t="s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 t="s"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9.9" customHeight="1" x14ac:dyDescent="0.25">
      <c r="A25" s="2"/>
      <c r="B25" s="2"/>
      <c r="C25" s="2" t="s">
        <v>0</v>
      </c>
      <c r="D25" s="2"/>
      <c r="E25" s="2" t="s"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9.9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9.9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ht="9.9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ht="9.9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ht="9.9" customHeight="1" x14ac:dyDescent="0.25">
      <c r="A30" s="49" t="s">
        <v>69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96" customHeight="1" x14ac:dyDescent="0.25">
      <c r="A31" s="52" t="s">
        <v>51</v>
      </c>
      <c r="B31" s="80" t="s">
        <v>253</v>
      </c>
      <c r="C31" s="80" t="s">
        <v>257</v>
      </c>
      <c r="D31" s="80" t="s">
        <v>258</v>
      </c>
      <c r="E31" s="80" t="s">
        <v>259</v>
      </c>
      <c r="F31" s="80" t="s">
        <v>261</v>
      </c>
      <c r="G31" s="80" t="s">
        <v>262</v>
      </c>
      <c r="H31" s="80" t="s">
        <v>263</v>
      </c>
      <c r="I31" s="80" t="s">
        <v>264</v>
      </c>
      <c r="J31" s="80" t="s">
        <v>265</v>
      </c>
      <c r="K31" s="80" t="s">
        <v>266</v>
      </c>
      <c r="L31" s="80" t="s">
        <v>267</v>
      </c>
      <c r="M31" s="80" t="s">
        <v>268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9.9" customHeight="1" x14ac:dyDescent="0.25">
      <c r="A32" s="54" t="s">
        <v>155</v>
      </c>
      <c r="B32" s="57">
        <v>120628</v>
      </c>
      <c r="C32" s="57">
        <v>127230</v>
      </c>
      <c r="D32" s="57">
        <v>168661</v>
      </c>
      <c r="E32" s="57">
        <v>125892</v>
      </c>
      <c r="F32" s="57">
        <v>135739</v>
      </c>
      <c r="G32" s="57">
        <v>146669</v>
      </c>
      <c r="H32" s="57">
        <v>119084</v>
      </c>
      <c r="I32" s="57">
        <v>108221</v>
      </c>
      <c r="J32" s="57">
        <v>145792</v>
      </c>
      <c r="K32" s="57">
        <v>129390</v>
      </c>
      <c r="L32" s="57">
        <v>140508</v>
      </c>
      <c r="M32" s="57">
        <v>148955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131" ht="9.9" customHeight="1" x14ac:dyDescent="0.25">
      <c r="A33" s="54" t="s">
        <v>1</v>
      </c>
      <c r="B33" s="57">
        <v>9111</v>
      </c>
      <c r="C33" s="57">
        <v>12011</v>
      </c>
      <c r="D33" s="57">
        <v>14094</v>
      </c>
      <c r="E33" s="57">
        <v>14471</v>
      </c>
      <c r="F33" s="57">
        <v>13417</v>
      </c>
      <c r="G33" s="57">
        <v>16518</v>
      </c>
      <c r="H33" s="57">
        <v>11175</v>
      </c>
      <c r="I33" s="57">
        <v>13106</v>
      </c>
      <c r="J33" s="57">
        <v>17403</v>
      </c>
      <c r="K33" s="57">
        <v>17782</v>
      </c>
      <c r="L33" s="57">
        <v>23089</v>
      </c>
      <c r="M33" s="57">
        <v>35172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131" ht="9.9" customHeight="1" x14ac:dyDescent="0.25">
      <c r="A34" s="54" t="s">
        <v>4</v>
      </c>
      <c r="B34" s="57">
        <v>57254</v>
      </c>
      <c r="C34" s="57">
        <v>64820</v>
      </c>
      <c r="D34" s="57">
        <v>86469</v>
      </c>
      <c r="E34" s="57">
        <v>55328</v>
      </c>
      <c r="F34" s="57">
        <v>49577</v>
      </c>
      <c r="G34" s="57">
        <v>59819</v>
      </c>
      <c r="H34" s="57">
        <v>61190</v>
      </c>
      <c r="I34" s="57">
        <v>55899</v>
      </c>
      <c r="J34" s="57">
        <v>70262</v>
      </c>
      <c r="K34" s="57">
        <v>63350</v>
      </c>
      <c r="L34" s="57">
        <v>69020</v>
      </c>
      <c r="M34" s="57">
        <v>60035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131" ht="9.9" customHeight="1" x14ac:dyDescent="0.25">
      <c r="A35" s="54" t="s">
        <v>5</v>
      </c>
      <c r="B35" s="57">
        <v>224125</v>
      </c>
      <c r="C35" s="57">
        <v>260426</v>
      </c>
      <c r="D35" s="57">
        <v>230834</v>
      </c>
      <c r="E35" s="57">
        <v>242218</v>
      </c>
      <c r="F35" s="57">
        <v>218332</v>
      </c>
      <c r="G35" s="57">
        <v>231226</v>
      </c>
      <c r="H35" s="57">
        <v>237678</v>
      </c>
      <c r="I35" s="57">
        <v>215792</v>
      </c>
      <c r="J35" s="57">
        <v>148410</v>
      </c>
      <c r="K35" s="57">
        <v>232511</v>
      </c>
      <c r="L35" s="57">
        <v>220215</v>
      </c>
      <c r="M35" s="57">
        <v>271993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131" ht="9.9" customHeight="1" x14ac:dyDescent="0.25">
      <c r="A36" s="54" t="s">
        <v>6</v>
      </c>
      <c r="B36" s="57">
        <v>344240</v>
      </c>
      <c r="C36" s="57">
        <v>249857</v>
      </c>
      <c r="D36" s="57">
        <v>369552</v>
      </c>
      <c r="E36" s="57">
        <v>215783</v>
      </c>
      <c r="F36" s="57">
        <v>239096</v>
      </c>
      <c r="G36" s="57">
        <v>280689</v>
      </c>
      <c r="H36" s="57">
        <v>245733</v>
      </c>
      <c r="I36" s="57">
        <v>258094</v>
      </c>
      <c r="J36" s="57">
        <v>278556</v>
      </c>
      <c r="K36" s="57">
        <v>273486</v>
      </c>
      <c r="L36" s="57">
        <v>252905</v>
      </c>
      <c r="M36" s="57">
        <v>292467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131" ht="9.9" customHeight="1" x14ac:dyDescent="0.25">
      <c r="A37" s="54" t="s">
        <v>7</v>
      </c>
      <c r="B37" s="57">
        <v>18754</v>
      </c>
      <c r="C37" s="57">
        <v>21882</v>
      </c>
      <c r="D37" s="57">
        <v>17498</v>
      </c>
      <c r="E37" s="57">
        <v>22269</v>
      </c>
      <c r="F37" s="57">
        <v>22727</v>
      </c>
      <c r="G37" s="57">
        <v>20171</v>
      </c>
      <c r="H37" s="57">
        <v>24485</v>
      </c>
      <c r="I37" s="57">
        <v>21676</v>
      </c>
      <c r="J37" s="57">
        <v>22378</v>
      </c>
      <c r="K37" s="57">
        <v>24535</v>
      </c>
      <c r="L37" s="57">
        <v>21400</v>
      </c>
      <c r="M37" s="57">
        <v>21350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131" ht="9.9" customHeight="1" x14ac:dyDescent="0.25">
      <c r="A38" s="54" t="s">
        <v>8</v>
      </c>
      <c r="B38" s="57">
        <v>34274</v>
      </c>
      <c r="C38" s="57">
        <v>31686</v>
      </c>
      <c r="D38" s="57">
        <v>39166</v>
      </c>
      <c r="E38" s="57">
        <v>37535</v>
      </c>
      <c r="F38" s="57">
        <v>47581</v>
      </c>
      <c r="G38" s="57">
        <v>44476</v>
      </c>
      <c r="H38" s="57">
        <v>46563</v>
      </c>
      <c r="I38" s="57">
        <v>53664</v>
      </c>
      <c r="J38" s="57">
        <v>50741</v>
      </c>
      <c r="K38" s="57">
        <v>43881</v>
      </c>
      <c r="L38" s="57">
        <v>45228</v>
      </c>
      <c r="M38" s="57">
        <v>52388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131" ht="9.9" customHeight="1" x14ac:dyDescent="0.25">
      <c r="A39" s="54" t="s">
        <v>9</v>
      </c>
      <c r="B39" s="57">
        <v>112939</v>
      </c>
      <c r="C39" s="57">
        <v>115135</v>
      </c>
      <c r="D39" s="57">
        <v>120680</v>
      </c>
      <c r="E39" s="57">
        <v>71671</v>
      </c>
      <c r="F39" s="57">
        <v>74573</v>
      </c>
      <c r="G39" s="57">
        <v>78268</v>
      </c>
      <c r="H39" s="57">
        <v>76678</v>
      </c>
      <c r="I39" s="57">
        <v>75500</v>
      </c>
      <c r="J39" s="57">
        <v>79519</v>
      </c>
      <c r="K39" s="57">
        <v>60712</v>
      </c>
      <c r="L39" s="57">
        <v>57503</v>
      </c>
      <c r="M39" s="57">
        <v>48245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131" ht="9.9" customHeight="1" x14ac:dyDescent="0.25">
      <c r="A40" s="54" t="s">
        <v>10</v>
      </c>
      <c r="B40" s="57">
        <v>78212</v>
      </c>
      <c r="C40" s="57">
        <v>82895</v>
      </c>
      <c r="D40" s="57">
        <v>119671</v>
      </c>
      <c r="E40" s="57">
        <v>119988</v>
      </c>
      <c r="F40" s="57">
        <v>126069</v>
      </c>
      <c r="G40" s="57">
        <v>105193</v>
      </c>
      <c r="H40" s="57">
        <v>115099</v>
      </c>
      <c r="I40" s="57">
        <v>110072</v>
      </c>
      <c r="J40" s="57">
        <v>109246</v>
      </c>
      <c r="K40" s="57">
        <v>108713</v>
      </c>
      <c r="L40" s="57">
        <v>102601</v>
      </c>
      <c r="M40" s="57">
        <v>67617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131" ht="9.9" customHeight="1" x14ac:dyDescent="0.25">
      <c r="A41" s="54" t="s">
        <v>11</v>
      </c>
      <c r="B41" s="57">
        <v>41308</v>
      </c>
      <c r="C41" s="57">
        <v>42744</v>
      </c>
      <c r="D41" s="57">
        <v>51456</v>
      </c>
      <c r="E41" s="57">
        <v>42937</v>
      </c>
      <c r="F41" s="57">
        <v>47856</v>
      </c>
      <c r="G41" s="57">
        <v>48977</v>
      </c>
      <c r="H41" s="57">
        <v>46885</v>
      </c>
      <c r="I41" s="57">
        <v>49689</v>
      </c>
      <c r="J41" s="57">
        <v>47883</v>
      </c>
      <c r="K41" s="57">
        <v>54150</v>
      </c>
      <c r="L41" s="57">
        <v>54971</v>
      </c>
      <c r="M41" s="57">
        <v>70209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131" ht="9.9" customHeight="1" x14ac:dyDescent="0.25">
      <c r="A42" s="54" t="s">
        <v>29</v>
      </c>
      <c r="B42" s="57">
        <v>11817</v>
      </c>
      <c r="C42" s="57">
        <v>8207</v>
      </c>
      <c r="D42" s="57">
        <v>10456</v>
      </c>
      <c r="E42" s="57">
        <v>9134</v>
      </c>
      <c r="F42" s="57">
        <v>10199</v>
      </c>
      <c r="G42" s="57">
        <v>10000</v>
      </c>
      <c r="H42" s="57">
        <v>10000</v>
      </c>
      <c r="I42" s="57">
        <v>10988</v>
      </c>
      <c r="J42" s="57">
        <v>10497</v>
      </c>
      <c r="K42" s="57">
        <v>9063</v>
      </c>
      <c r="L42" s="57">
        <v>12799</v>
      </c>
      <c r="M42" s="57">
        <v>6670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131" ht="9.9" customHeight="1" x14ac:dyDescent="0.25">
      <c r="A43" s="54" t="s">
        <v>28</v>
      </c>
      <c r="B43" s="57">
        <v>18259</v>
      </c>
      <c r="C43" s="57">
        <v>21709</v>
      </c>
      <c r="D43" s="57">
        <v>24194</v>
      </c>
      <c r="E43" s="57">
        <v>19636</v>
      </c>
      <c r="F43" s="57">
        <v>21528</v>
      </c>
      <c r="G43" s="57">
        <v>23852</v>
      </c>
      <c r="H43" s="57">
        <v>20064</v>
      </c>
      <c r="I43" s="57">
        <v>22472</v>
      </c>
      <c r="J43" s="57">
        <v>22252</v>
      </c>
      <c r="K43" s="57">
        <v>21447</v>
      </c>
      <c r="L43" s="57">
        <v>21424</v>
      </c>
      <c r="M43" s="57">
        <v>19545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131" ht="9.9" customHeight="1" x14ac:dyDescent="0.25">
      <c r="A44" s="59" t="s">
        <v>68</v>
      </c>
      <c r="B44" s="60">
        <v>1070921</v>
      </c>
      <c r="C44" s="60">
        <v>1038602</v>
      </c>
      <c r="D44" s="60">
        <v>1252731</v>
      </c>
      <c r="E44" s="60">
        <v>976862</v>
      </c>
      <c r="F44" s="60">
        <v>1006694</v>
      </c>
      <c r="G44" s="60">
        <v>1065858</v>
      </c>
      <c r="H44" s="60">
        <v>1014634</v>
      </c>
      <c r="I44" s="60">
        <v>995173</v>
      </c>
      <c r="J44" s="60">
        <v>1002939</v>
      </c>
      <c r="K44" s="60">
        <v>1039020</v>
      </c>
      <c r="L44" s="60">
        <v>1021663</v>
      </c>
      <c r="M44" s="60">
        <v>1094646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131" ht="9.9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131" ht="9.9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 t="s">
        <v>0</v>
      </c>
      <c r="AD46" s="2" t="s">
        <v>0</v>
      </c>
      <c r="AE46" s="2"/>
      <c r="AF46" s="2"/>
      <c r="AG46" s="2"/>
      <c r="AH46" s="2"/>
      <c r="AI46" s="2"/>
      <c r="AJ46" s="2"/>
      <c r="AK46" s="2"/>
      <c r="AL46" s="2"/>
      <c r="AM46" s="2" t="s">
        <v>0</v>
      </c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131" ht="93.6" x14ac:dyDescent="0.25">
      <c r="A47" s="52" t="s">
        <v>51</v>
      </c>
      <c r="B47" s="53" t="s">
        <v>142</v>
      </c>
      <c r="C47" s="53" t="s">
        <v>143</v>
      </c>
      <c r="D47" s="53" t="s">
        <v>144</v>
      </c>
      <c r="E47" s="53" t="s">
        <v>145</v>
      </c>
      <c r="F47" s="53" t="s">
        <v>148</v>
      </c>
      <c r="G47" s="53" t="s">
        <v>149</v>
      </c>
      <c r="H47" s="53" t="s">
        <v>150</v>
      </c>
      <c r="I47" s="53" t="s">
        <v>151</v>
      </c>
      <c r="J47" s="53" t="s">
        <v>152</v>
      </c>
      <c r="K47" s="53" t="s">
        <v>153</v>
      </c>
      <c r="L47" s="53" t="s">
        <v>103</v>
      </c>
      <c r="M47" s="53" t="s">
        <v>104</v>
      </c>
      <c r="N47" s="53" t="s">
        <v>105</v>
      </c>
      <c r="O47" s="53" t="s">
        <v>106</v>
      </c>
      <c r="P47" s="53" t="s">
        <v>107</v>
      </c>
      <c r="Q47" s="53" t="s">
        <v>108</v>
      </c>
      <c r="R47" s="53" t="s">
        <v>109</v>
      </c>
      <c r="S47" s="53" t="s">
        <v>110</v>
      </c>
      <c r="T47" s="53" t="s">
        <v>111</v>
      </c>
      <c r="U47" s="53" t="s">
        <v>112</v>
      </c>
      <c r="V47" s="53" t="s">
        <v>113</v>
      </c>
      <c r="W47" s="53" t="s">
        <v>114</v>
      </c>
      <c r="X47" s="53" t="s">
        <v>115</v>
      </c>
      <c r="Y47" s="53" t="s">
        <v>116</v>
      </c>
      <c r="Z47" s="53" t="s">
        <v>117</v>
      </c>
      <c r="AA47" s="53" t="s">
        <v>118</v>
      </c>
      <c r="AB47" s="53" t="s">
        <v>119</v>
      </c>
      <c r="AC47" s="53" t="s">
        <v>120</v>
      </c>
      <c r="AD47" s="53" t="s">
        <v>121</v>
      </c>
      <c r="AE47" s="53" t="s">
        <v>122</v>
      </c>
      <c r="AF47" s="53" t="s">
        <v>123</v>
      </c>
      <c r="AG47" s="53" t="s">
        <v>124</v>
      </c>
      <c r="AH47" s="53" t="s">
        <v>125</v>
      </c>
      <c r="AI47" s="53" t="s">
        <v>126</v>
      </c>
      <c r="AJ47" s="53" t="s">
        <v>127</v>
      </c>
      <c r="AK47" s="53" t="s">
        <v>128</v>
      </c>
      <c r="AL47" s="53" t="s">
        <v>129</v>
      </c>
      <c r="AM47" s="53" t="s">
        <v>130</v>
      </c>
      <c r="AN47" s="53" t="s">
        <v>131</v>
      </c>
      <c r="AO47" s="53" t="s">
        <v>132</v>
      </c>
      <c r="AP47" s="53" t="s">
        <v>133</v>
      </c>
      <c r="AQ47" s="53" t="s">
        <v>134</v>
      </c>
      <c r="AR47" s="53" t="s">
        <v>136</v>
      </c>
      <c r="AS47" s="53" t="s">
        <v>137</v>
      </c>
      <c r="AT47" s="53" t="s">
        <v>141</v>
      </c>
      <c r="AU47" s="53" t="s">
        <v>154</v>
      </c>
      <c r="AV47" s="53" t="s">
        <v>156</v>
      </c>
      <c r="AW47" s="53" t="s">
        <v>158</v>
      </c>
      <c r="AX47" s="53" t="s">
        <v>159</v>
      </c>
      <c r="AY47" s="53" t="s">
        <v>161</v>
      </c>
      <c r="AZ47" s="53" t="s">
        <v>162</v>
      </c>
      <c r="BA47" s="53" t="s">
        <v>163</v>
      </c>
      <c r="BB47" s="53" t="s">
        <v>164</v>
      </c>
      <c r="BC47" s="53" t="s">
        <v>165</v>
      </c>
      <c r="BD47" s="53" t="s">
        <v>166</v>
      </c>
      <c r="BE47" s="53" t="s">
        <v>167</v>
      </c>
      <c r="BF47" s="53" t="s">
        <v>168</v>
      </c>
      <c r="BG47" s="53" t="s">
        <v>169</v>
      </c>
      <c r="BH47" s="80" t="s">
        <v>170</v>
      </c>
      <c r="BI47" s="80" t="s">
        <v>172</v>
      </c>
      <c r="BJ47" s="80" t="s">
        <v>173</v>
      </c>
      <c r="BK47" s="80" t="s">
        <v>174</v>
      </c>
      <c r="BL47" s="80" t="s">
        <v>175</v>
      </c>
      <c r="BM47" s="80" t="s">
        <v>176</v>
      </c>
      <c r="BN47" s="80" t="s">
        <v>177</v>
      </c>
      <c r="BO47" s="80" t="s">
        <v>178</v>
      </c>
      <c r="BP47" s="80" t="s">
        <v>179</v>
      </c>
      <c r="BQ47" s="80" t="s">
        <v>180</v>
      </c>
      <c r="BR47" s="80" t="s">
        <v>181</v>
      </c>
      <c r="BS47" s="80" t="s">
        <v>182</v>
      </c>
      <c r="BT47" s="53" t="s">
        <v>183</v>
      </c>
      <c r="BU47" s="53" t="s">
        <v>184</v>
      </c>
      <c r="BV47" s="53" t="s">
        <v>185</v>
      </c>
      <c r="BW47" s="53" t="s">
        <v>186</v>
      </c>
      <c r="BX47" s="53" t="s">
        <v>187</v>
      </c>
      <c r="BY47" s="53" t="s">
        <v>188</v>
      </c>
      <c r="BZ47" s="53" t="s">
        <v>189</v>
      </c>
      <c r="CA47" s="53" t="s">
        <v>190</v>
      </c>
      <c r="CB47" s="53" t="s">
        <v>191</v>
      </c>
      <c r="CC47" s="53" t="s">
        <v>192</v>
      </c>
      <c r="CD47" s="53" t="s">
        <v>193</v>
      </c>
      <c r="CE47" s="53" t="s">
        <v>194</v>
      </c>
      <c r="CF47" s="53" t="s">
        <v>195</v>
      </c>
      <c r="CG47" s="53" t="s">
        <v>196</v>
      </c>
      <c r="CH47" s="53" t="s">
        <v>197</v>
      </c>
      <c r="CI47" s="53" t="s">
        <v>198</v>
      </c>
      <c r="CJ47" s="53" t="s">
        <v>199</v>
      </c>
      <c r="CK47" s="53" t="s">
        <v>200</v>
      </c>
      <c r="CL47" s="53" t="s">
        <v>201</v>
      </c>
      <c r="CM47" s="53" t="s">
        <v>202</v>
      </c>
      <c r="CN47" s="53" t="s">
        <v>203</v>
      </c>
      <c r="CO47" s="53" t="s">
        <v>204</v>
      </c>
      <c r="CP47" s="53" t="s">
        <v>205</v>
      </c>
      <c r="CQ47" s="53" t="s">
        <v>206</v>
      </c>
      <c r="CR47" s="80" t="s">
        <v>207</v>
      </c>
      <c r="CS47" s="80" t="s">
        <v>208</v>
      </c>
      <c r="CT47" s="80" t="s">
        <v>209</v>
      </c>
      <c r="CU47" s="80" t="s">
        <v>210</v>
      </c>
      <c r="CV47" s="80" t="s">
        <v>211</v>
      </c>
      <c r="CW47" s="80" t="s">
        <v>212</v>
      </c>
      <c r="CX47" s="80" t="s">
        <v>213</v>
      </c>
      <c r="CY47" s="80" t="s">
        <v>214</v>
      </c>
      <c r="CZ47" s="80" t="s">
        <v>215</v>
      </c>
      <c r="DA47" s="80" t="s">
        <v>216</v>
      </c>
      <c r="DB47" s="80" t="s">
        <v>217</v>
      </c>
      <c r="DC47" s="80" t="s">
        <v>218</v>
      </c>
      <c r="DD47" s="80" t="s">
        <v>226</v>
      </c>
      <c r="DE47" s="80" t="s">
        <v>227</v>
      </c>
      <c r="DF47" s="80" t="s">
        <v>228</v>
      </c>
      <c r="DG47" s="80" t="s">
        <v>229</v>
      </c>
      <c r="DH47" s="80" t="s">
        <v>230</v>
      </c>
      <c r="DI47" s="80" t="s">
        <v>231</v>
      </c>
      <c r="DJ47" s="80" t="s">
        <v>232</v>
      </c>
      <c r="DK47" s="80" t="s">
        <v>233</v>
      </c>
      <c r="DL47" s="80" t="s">
        <v>234</v>
      </c>
      <c r="DM47" s="80" t="s">
        <v>235</v>
      </c>
      <c r="DN47" s="80" t="s">
        <v>236</v>
      </c>
      <c r="DO47" s="80" t="s">
        <v>237</v>
      </c>
      <c r="DP47" s="80" t="s">
        <v>239</v>
      </c>
      <c r="DQ47" s="80" t="s">
        <v>240</v>
      </c>
      <c r="DR47" s="80" t="s">
        <v>241</v>
      </c>
      <c r="DS47" s="80" t="s">
        <v>242</v>
      </c>
      <c r="DT47" s="80" t="s">
        <v>243</v>
      </c>
      <c r="DU47" s="80" t="s">
        <v>244</v>
      </c>
      <c r="DV47" s="80" t="s">
        <v>245</v>
      </c>
      <c r="DW47" s="80" t="s">
        <v>246</v>
      </c>
      <c r="DX47" s="80" t="s">
        <v>247</v>
      </c>
      <c r="DY47" s="80" t="s">
        <v>248</v>
      </c>
      <c r="DZ47" s="80" t="s">
        <v>249</v>
      </c>
      <c r="EA47" s="80" t="s">
        <v>250</v>
      </c>
    </row>
    <row r="48" spans="1:131" ht="12" customHeight="1" x14ac:dyDescent="0.25">
      <c r="A48" s="54" t="s">
        <v>52</v>
      </c>
      <c r="B48" s="57">
        <v>121017</v>
      </c>
      <c r="C48" s="57">
        <v>116601</v>
      </c>
      <c r="D48" s="57">
        <v>172956</v>
      </c>
      <c r="E48" s="57">
        <v>125652</v>
      </c>
      <c r="F48" s="57">
        <v>112078</v>
      </c>
      <c r="G48" s="57">
        <v>89986</v>
      </c>
      <c r="H48" s="57">
        <v>140312</v>
      </c>
      <c r="I48" s="57">
        <v>128345</v>
      </c>
      <c r="J48" s="57">
        <v>138461</v>
      </c>
      <c r="K48" s="57">
        <v>130610</v>
      </c>
      <c r="L48" s="57">
        <v>111788</v>
      </c>
      <c r="M48" s="57">
        <v>101520</v>
      </c>
      <c r="N48" s="57">
        <v>148410</v>
      </c>
      <c r="O48" s="57">
        <v>108102</v>
      </c>
      <c r="P48" s="57">
        <v>116158</v>
      </c>
      <c r="Q48" s="57">
        <v>126129</v>
      </c>
      <c r="R48" s="57">
        <v>107352</v>
      </c>
      <c r="S48" s="57">
        <v>79091</v>
      </c>
      <c r="T48" s="57">
        <v>122083</v>
      </c>
      <c r="U48" s="57">
        <v>116522</v>
      </c>
      <c r="V48" s="57">
        <v>111150</v>
      </c>
      <c r="W48" s="57">
        <v>99678</v>
      </c>
      <c r="X48" s="57">
        <v>100795</v>
      </c>
      <c r="Y48" s="57">
        <f>189030-100795</f>
        <v>88235</v>
      </c>
      <c r="Z48" s="57">
        <v>137120</v>
      </c>
      <c r="AA48" s="57">
        <v>115274</v>
      </c>
      <c r="AB48" s="57">
        <v>108354</v>
      </c>
      <c r="AC48" s="57">
        <v>121114</v>
      </c>
      <c r="AD48" s="57">
        <v>109046</v>
      </c>
      <c r="AE48" s="57">
        <v>74458</v>
      </c>
      <c r="AF48" s="57">
        <v>127600</v>
      </c>
      <c r="AG48" s="57">
        <v>122327</v>
      </c>
      <c r="AH48" s="57">
        <v>116396</v>
      </c>
      <c r="AI48" s="57">
        <v>116926</v>
      </c>
      <c r="AJ48" s="57">
        <v>105163</v>
      </c>
      <c r="AK48" s="57">
        <v>94938</v>
      </c>
      <c r="AL48" s="57">
        <v>157261</v>
      </c>
      <c r="AM48" s="57">
        <v>121345</v>
      </c>
      <c r="AN48" s="57">
        <v>122322</v>
      </c>
      <c r="AO48" s="57">
        <v>136513</v>
      </c>
      <c r="AP48" s="57">
        <v>122725</v>
      </c>
      <c r="AQ48" s="57">
        <v>81195</v>
      </c>
      <c r="AR48" s="57">
        <v>146989</v>
      </c>
      <c r="AS48" s="57">
        <v>135048</v>
      </c>
      <c r="AT48" s="57">
        <v>121951</v>
      </c>
      <c r="AU48" s="57">
        <v>133339</v>
      </c>
      <c r="AV48" s="57">
        <v>112696</v>
      </c>
      <c r="AW48" s="57">
        <v>108042</v>
      </c>
      <c r="AX48" s="57">
        <v>183527</v>
      </c>
      <c r="AY48" s="57">
        <v>134309</v>
      </c>
      <c r="AZ48" s="57">
        <v>127329</v>
      </c>
      <c r="BA48" s="57">
        <v>158475</v>
      </c>
      <c r="BB48" s="57">
        <v>126870</v>
      </c>
      <c r="BC48" s="57">
        <v>87621</v>
      </c>
      <c r="BD48" s="57">
        <v>162077</v>
      </c>
      <c r="BE48" s="57">
        <v>149446</v>
      </c>
      <c r="BF48" s="57">
        <v>141684</v>
      </c>
      <c r="BG48" s="57">
        <v>152670</v>
      </c>
      <c r="BH48" s="57">
        <v>123854</v>
      </c>
      <c r="BI48" s="57">
        <v>125109</v>
      </c>
      <c r="BJ48" s="57">
        <v>197131</v>
      </c>
      <c r="BK48" s="57">
        <v>152018</v>
      </c>
      <c r="BL48" s="57">
        <v>147551</v>
      </c>
      <c r="BM48" s="57">
        <v>179173</v>
      </c>
      <c r="BN48" s="57">
        <v>137626</v>
      </c>
      <c r="BO48" s="57">
        <v>115581</v>
      </c>
      <c r="BP48" s="57">
        <v>178285</v>
      </c>
      <c r="BQ48" s="57">
        <v>143293</v>
      </c>
      <c r="BR48" s="57">
        <v>161042</v>
      </c>
      <c r="BS48" s="57">
        <v>170324</v>
      </c>
      <c r="BT48" s="57">
        <v>136551</v>
      </c>
      <c r="BU48" s="57">
        <v>128864</v>
      </c>
      <c r="BV48" s="57">
        <v>217871</v>
      </c>
      <c r="BW48" s="57">
        <v>141380</v>
      </c>
      <c r="BX48" s="57">
        <v>160565</v>
      </c>
      <c r="BY48" s="57">
        <v>185378</v>
      </c>
      <c r="BZ48" s="57">
        <v>144187</v>
      </c>
      <c r="CA48" s="57">
        <v>116894</v>
      </c>
      <c r="CB48" s="57">
        <v>181550</v>
      </c>
      <c r="CC48" s="57">
        <v>160245</v>
      </c>
      <c r="CD48" s="57">
        <v>167010</v>
      </c>
      <c r="CE48" s="57">
        <v>163064</v>
      </c>
      <c r="CF48" s="57">
        <v>145480</v>
      </c>
      <c r="CG48" s="57">
        <v>136399</v>
      </c>
      <c r="CH48" s="57">
        <v>212072</v>
      </c>
      <c r="CI48" s="57">
        <v>154532</v>
      </c>
      <c r="CJ48" s="57">
        <v>167279</v>
      </c>
      <c r="CK48" s="57">
        <v>199644</v>
      </c>
      <c r="CL48" s="57">
        <v>143489</v>
      </c>
      <c r="CM48" s="57">
        <v>124293</v>
      </c>
      <c r="CN48" s="57">
        <v>170166</v>
      </c>
      <c r="CO48" s="57">
        <v>170467</v>
      </c>
      <c r="CP48" s="57">
        <v>169931</v>
      </c>
      <c r="CQ48" s="57">
        <v>157339</v>
      </c>
      <c r="CR48" s="57">
        <v>153090</v>
      </c>
      <c r="CS48" s="57">
        <v>141551</v>
      </c>
      <c r="CT48" s="57">
        <v>221278</v>
      </c>
      <c r="CU48" s="57">
        <v>168350</v>
      </c>
      <c r="CV48" s="57">
        <v>177397</v>
      </c>
      <c r="CW48" s="57">
        <v>190339</v>
      </c>
      <c r="CX48" s="57">
        <v>156853</v>
      </c>
      <c r="CY48" s="57">
        <v>137622</v>
      </c>
      <c r="CZ48" s="57">
        <v>168886</v>
      </c>
      <c r="DA48" s="57">
        <v>160395</v>
      </c>
      <c r="DB48" s="57">
        <v>157323</v>
      </c>
      <c r="DC48" s="57">
        <v>172127</v>
      </c>
      <c r="DD48" s="57">
        <v>142202</v>
      </c>
      <c r="DE48" s="57">
        <v>137207</v>
      </c>
      <c r="DF48" s="57">
        <v>118510</v>
      </c>
      <c r="DG48" s="57">
        <v>34591</v>
      </c>
      <c r="DH48" s="57">
        <v>94823</v>
      </c>
      <c r="DI48" s="57">
        <v>165192</v>
      </c>
      <c r="DJ48" s="57">
        <v>162760</v>
      </c>
      <c r="DK48" s="57">
        <v>120531</v>
      </c>
      <c r="DL48" s="57">
        <v>181771</v>
      </c>
      <c r="DM48" s="57">
        <v>166335</v>
      </c>
      <c r="DN48" s="57">
        <f>150000+8849</f>
        <v>158849</v>
      </c>
      <c r="DO48" s="57">
        <v>161913</v>
      </c>
      <c r="DP48" s="57">
        <v>133030</v>
      </c>
      <c r="DQ48" s="57">
        <v>139358</v>
      </c>
      <c r="DR48" s="57">
        <v>217604</v>
      </c>
      <c r="DS48" s="57">
        <v>163372</v>
      </c>
      <c r="DT48" s="57">
        <v>157736</v>
      </c>
      <c r="DU48" s="57">
        <v>180204</v>
      </c>
      <c r="DV48" s="57">
        <v>135045</v>
      </c>
      <c r="DW48" s="57">
        <v>110631</v>
      </c>
      <c r="DX48" s="57">
        <v>144434</v>
      </c>
      <c r="DY48" s="57">
        <v>138115</v>
      </c>
      <c r="DZ48" s="57">
        <v>138333</v>
      </c>
      <c r="EA48" s="57">
        <v>146286</v>
      </c>
    </row>
    <row r="49" spans="1:131" ht="12" customHeight="1" x14ac:dyDescent="0.25">
      <c r="A49" s="54" t="s">
        <v>53</v>
      </c>
      <c r="B49" s="57">
        <v>6623</v>
      </c>
      <c r="C49" s="57">
        <v>7873</v>
      </c>
      <c r="D49" s="57">
        <v>10463</v>
      </c>
      <c r="E49" s="57">
        <v>9245</v>
      </c>
      <c r="F49" s="57">
        <v>7417</v>
      </c>
      <c r="G49" s="57">
        <v>7954</v>
      </c>
      <c r="H49" s="57">
        <v>7968</v>
      </c>
      <c r="I49" s="57">
        <v>8370</v>
      </c>
      <c r="J49" s="57">
        <v>9606</v>
      </c>
      <c r="K49" s="57">
        <v>6934</v>
      </c>
      <c r="L49" s="57">
        <v>7146</v>
      </c>
      <c r="M49" s="57">
        <v>7194</v>
      </c>
      <c r="N49" s="57">
        <v>8662</v>
      </c>
      <c r="O49" s="57">
        <v>8782</v>
      </c>
      <c r="P49" s="57">
        <v>10706</v>
      </c>
      <c r="Q49" s="57">
        <v>8043</v>
      </c>
      <c r="R49" s="57">
        <v>7210</v>
      </c>
      <c r="S49" s="57">
        <v>7141</v>
      </c>
      <c r="T49" s="57">
        <v>6771</v>
      </c>
      <c r="U49" s="57">
        <v>7730</v>
      </c>
      <c r="V49" s="57">
        <v>8694</v>
      </c>
      <c r="W49" s="57">
        <v>8437</v>
      </c>
      <c r="X49" s="57">
        <v>7362</v>
      </c>
      <c r="Y49" s="57">
        <f>13854-7362</f>
        <v>6492</v>
      </c>
      <c r="Z49" s="57">
        <v>7538</v>
      </c>
      <c r="AA49" s="57">
        <v>7491</v>
      </c>
      <c r="AB49" s="57">
        <v>7450</v>
      </c>
      <c r="AC49" s="57">
        <v>8532</v>
      </c>
      <c r="AD49" s="57">
        <v>7747</v>
      </c>
      <c r="AE49" s="57">
        <v>7078</v>
      </c>
      <c r="AF49" s="57">
        <v>7913</v>
      </c>
      <c r="AG49" s="57">
        <v>9510</v>
      </c>
      <c r="AH49" s="57">
        <v>9547</v>
      </c>
      <c r="AI49" s="57">
        <v>9405</v>
      </c>
      <c r="AJ49" s="57">
        <v>8144</v>
      </c>
      <c r="AK49" s="57">
        <v>7762</v>
      </c>
      <c r="AL49" s="57">
        <v>10185</v>
      </c>
      <c r="AM49" s="57">
        <v>9183</v>
      </c>
      <c r="AN49" s="57">
        <v>9434</v>
      </c>
      <c r="AO49" s="57">
        <v>9265</v>
      </c>
      <c r="AP49" s="57">
        <v>9877</v>
      </c>
      <c r="AQ49" s="57">
        <v>8337</v>
      </c>
      <c r="AR49" s="57">
        <v>9347</v>
      </c>
      <c r="AS49" s="57">
        <v>11021</v>
      </c>
      <c r="AT49" s="57">
        <v>10311</v>
      </c>
      <c r="AU49" s="57">
        <v>11903</v>
      </c>
      <c r="AV49" s="57">
        <v>9077</v>
      </c>
      <c r="AW49" s="57">
        <v>9444</v>
      </c>
      <c r="AX49" s="57">
        <v>11937</v>
      </c>
      <c r="AY49" s="57">
        <v>10548</v>
      </c>
      <c r="AZ49" s="57">
        <v>10531</v>
      </c>
      <c r="BA49" s="57">
        <v>11104</v>
      </c>
      <c r="BB49" s="57">
        <v>11119</v>
      </c>
      <c r="BC49" s="57">
        <v>9138</v>
      </c>
      <c r="BD49" s="57">
        <v>11438</v>
      </c>
      <c r="BE49" s="57">
        <v>12059</v>
      </c>
      <c r="BF49" s="57">
        <v>13306</v>
      </c>
      <c r="BG49" s="57">
        <v>15030</v>
      </c>
      <c r="BH49" s="57">
        <v>10557</v>
      </c>
      <c r="BI49" s="57">
        <v>11702</v>
      </c>
      <c r="BJ49" s="57">
        <v>13580</v>
      </c>
      <c r="BK49" s="57">
        <v>13256</v>
      </c>
      <c r="BL49" s="57">
        <v>13177</v>
      </c>
      <c r="BM49" s="57">
        <v>14185</v>
      </c>
      <c r="BN49" s="57">
        <v>12901</v>
      </c>
      <c r="BO49" s="57">
        <v>13034</v>
      </c>
      <c r="BP49" s="57">
        <v>12582</v>
      </c>
      <c r="BQ49" s="57">
        <v>12110</v>
      </c>
      <c r="BR49" s="57">
        <v>13591</v>
      </c>
      <c r="BS49" s="57">
        <v>15056</v>
      </c>
      <c r="BT49" s="57">
        <v>10718</v>
      </c>
      <c r="BU49" s="57">
        <v>12353</v>
      </c>
      <c r="BV49" s="57">
        <v>14863</v>
      </c>
      <c r="BW49" s="57">
        <v>12212</v>
      </c>
      <c r="BX49" s="57">
        <v>14332</v>
      </c>
      <c r="BY49" s="57">
        <v>14387</v>
      </c>
      <c r="BZ49" s="57">
        <v>12253</v>
      </c>
      <c r="CA49" s="57">
        <v>12962</v>
      </c>
      <c r="CB49" s="57">
        <v>13209</v>
      </c>
      <c r="CC49" s="57">
        <v>14660</v>
      </c>
      <c r="CD49" s="57">
        <v>14047</v>
      </c>
      <c r="CE49" s="57">
        <v>15934</v>
      </c>
      <c r="CF49" s="57">
        <v>13429</v>
      </c>
      <c r="CG49" s="57">
        <v>12611</v>
      </c>
      <c r="CH49" s="57">
        <v>14822</v>
      </c>
      <c r="CI49" s="57">
        <v>14198</v>
      </c>
      <c r="CJ49" s="57">
        <v>15355</v>
      </c>
      <c r="CK49" s="57">
        <v>16567</v>
      </c>
      <c r="CL49" s="57">
        <v>14200</v>
      </c>
      <c r="CM49" s="57">
        <v>14917</v>
      </c>
      <c r="CN49" s="57">
        <v>13366</v>
      </c>
      <c r="CO49" s="57">
        <v>16181</v>
      </c>
      <c r="CP49" s="57">
        <v>16999</v>
      </c>
      <c r="CQ49" s="57">
        <v>16527</v>
      </c>
      <c r="CR49" s="57">
        <v>15155</v>
      </c>
      <c r="CS49" s="57">
        <v>14122</v>
      </c>
      <c r="CT49" s="57">
        <v>16278</v>
      </c>
      <c r="CU49" s="57">
        <v>15507</v>
      </c>
      <c r="CV49" s="57">
        <v>16534</v>
      </c>
      <c r="CW49" s="57">
        <v>15632</v>
      </c>
      <c r="CX49" s="57">
        <v>15653</v>
      </c>
      <c r="CY49" s="57">
        <v>18282</v>
      </c>
      <c r="CZ49" s="57">
        <v>10958</v>
      </c>
      <c r="DA49" s="57">
        <v>14853</v>
      </c>
      <c r="DB49" s="57">
        <v>14265</v>
      </c>
      <c r="DC49" s="57">
        <v>16874</v>
      </c>
      <c r="DD49" s="57">
        <v>12445</v>
      </c>
      <c r="DE49" s="57">
        <v>12461</v>
      </c>
      <c r="DF49" s="57">
        <v>11061</v>
      </c>
      <c r="DG49" s="57">
        <v>7635</v>
      </c>
      <c r="DH49" s="57">
        <v>9473</v>
      </c>
      <c r="DI49" s="57">
        <v>12566</v>
      </c>
      <c r="DJ49" s="57">
        <v>12856</v>
      </c>
      <c r="DK49" s="57">
        <v>12127</v>
      </c>
      <c r="DL49" s="57">
        <v>12907</v>
      </c>
      <c r="DM49" s="57">
        <v>13453</v>
      </c>
      <c r="DN49" s="57">
        <f>13000+1633</f>
        <v>14633</v>
      </c>
      <c r="DO49" s="57">
        <v>17052</v>
      </c>
      <c r="DP49" s="57">
        <v>11894</v>
      </c>
      <c r="DQ49" s="57">
        <v>13805</v>
      </c>
      <c r="DR49" s="57">
        <v>17447</v>
      </c>
      <c r="DS49" s="57">
        <v>16307</v>
      </c>
      <c r="DT49" s="57">
        <v>15538</v>
      </c>
      <c r="DU49" s="57">
        <v>16860</v>
      </c>
      <c r="DV49" s="57">
        <v>13973</v>
      </c>
      <c r="DW49" s="57">
        <v>14388</v>
      </c>
      <c r="DX49" s="57">
        <v>13457</v>
      </c>
      <c r="DY49" s="57">
        <v>15132</v>
      </c>
      <c r="DZ49" s="57">
        <v>12606</v>
      </c>
      <c r="EA49" s="57">
        <v>15857</v>
      </c>
    </row>
    <row r="50" spans="1:131" ht="12" customHeight="1" x14ac:dyDescent="0.25">
      <c r="A50" s="54" t="s">
        <v>1</v>
      </c>
      <c r="B50" s="57">
        <v>16142</v>
      </c>
      <c r="C50" s="57">
        <v>20759</v>
      </c>
      <c r="D50" s="57">
        <v>26090</v>
      </c>
      <c r="E50" s="57">
        <v>25095</v>
      </c>
      <c r="F50" s="57">
        <v>17788</v>
      </c>
      <c r="G50" s="57">
        <v>21966</v>
      </c>
      <c r="H50" s="57">
        <v>19512</v>
      </c>
      <c r="I50" s="57">
        <v>20946</v>
      </c>
      <c r="J50" s="57">
        <v>21167</v>
      </c>
      <c r="K50" s="57">
        <v>36208</v>
      </c>
      <c r="L50" s="57">
        <v>10119</v>
      </c>
      <c r="M50" s="57">
        <v>13100</v>
      </c>
      <c r="N50" s="57">
        <v>17748</v>
      </c>
      <c r="O50" s="57">
        <v>17294</v>
      </c>
      <c r="P50" s="57">
        <v>20058</v>
      </c>
      <c r="Q50" s="57">
        <v>19272</v>
      </c>
      <c r="R50" s="57">
        <v>18679</v>
      </c>
      <c r="S50" s="57">
        <v>16038</v>
      </c>
      <c r="T50" s="57">
        <v>21057</v>
      </c>
      <c r="U50" s="57">
        <v>17806</v>
      </c>
      <c r="V50" s="57">
        <v>19413</v>
      </c>
      <c r="W50" s="57">
        <v>30897</v>
      </c>
      <c r="X50" s="57">
        <v>15498</v>
      </c>
      <c r="Y50" s="57">
        <v>19427</v>
      </c>
      <c r="Z50" s="57">
        <v>24774</v>
      </c>
      <c r="AA50" s="57">
        <v>20561</v>
      </c>
      <c r="AB50" s="57">
        <v>15071</v>
      </c>
      <c r="AC50" s="57">
        <v>20845</v>
      </c>
      <c r="AD50" s="57">
        <v>20945</v>
      </c>
      <c r="AE50" s="57">
        <v>19884</v>
      </c>
      <c r="AF50" s="57">
        <v>19205</v>
      </c>
      <c r="AG50" s="57">
        <v>17588</v>
      </c>
      <c r="AH50" s="57">
        <v>12243</v>
      </c>
      <c r="AI50" s="57">
        <v>22428</v>
      </c>
      <c r="AJ50" s="57">
        <v>9920</v>
      </c>
      <c r="AK50" s="57">
        <v>10335</v>
      </c>
      <c r="AL50" s="57">
        <v>9769</v>
      </c>
      <c r="AM50" s="57">
        <v>10536</v>
      </c>
      <c r="AN50" s="57">
        <v>11742</v>
      </c>
      <c r="AO50" s="57">
        <v>12885</v>
      </c>
      <c r="AP50" s="57">
        <v>13305</v>
      </c>
      <c r="AQ50" s="57">
        <v>15068</v>
      </c>
      <c r="AR50" s="57">
        <v>17269</v>
      </c>
      <c r="AS50" s="57">
        <v>15759</v>
      </c>
      <c r="AT50" s="57">
        <v>20926</v>
      </c>
      <c r="AU50" s="57">
        <v>32836</v>
      </c>
      <c r="AV50" s="57">
        <v>10117</v>
      </c>
      <c r="AW50" s="57">
        <v>14514</v>
      </c>
      <c r="AX50" s="57">
        <v>21626</v>
      </c>
      <c r="AY50" s="57">
        <v>21391</v>
      </c>
      <c r="AZ50" s="57">
        <v>18664</v>
      </c>
      <c r="BA50" s="57">
        <v>18392</v>
      </c>
      <c r="BB50" s="57">
        <v>19618</v>
      </c>
      <c r="BC50" s="57">
        <v>20824</v>
      </c>
      <c r="BD50" s="57">
        <v>16937</v>
      </c>
      <c r="BE50" s="57">
        <v>16301</v>
      </c>
      <c r="BF50" s="57">
        <v>22204</v>
      </c>
      <c r="BG50" s="57">
        <v>29092</v>
      </c>
      <c r="BH50" s="57">
        <v>9355</v>
      </c>
      <c r="BI50" s="57">
        <v>12237</v>
      </c>
      <c r="BJ50" s="57">
        <v>21238</v>
      </c>
      <c r="BK50" s="57">
        <v>23849</v>
      </c>
      <c r="BL50" s="57">
        <v>13227</v>
      </c>
      <c r="BM50" s="57">
        <v>20429</v>
      </c>
      <c r="BN50" s="57">
        <v>12967</v>
      </c>
      <c r="BO50" s="57">
        <v>17579</v>
      </c>
      <c r="BP50" s="57">
        <v>16253</v>
      </c>
      <c r="BQ50" s="57">
        <v>19254</v>
      </c>
      <c r="BR50" s="57">
        <v>26526</v>
      </c>
      <c r="BS50" s="57">
        <v>33868</v>
      </c>
      <c r="BT50" s="57">
        <v>9634</v>
      </c>
      <c r="BU50" s="57">
        <v>12307</v>
      </c>
      <c r="BV50" s="57">
        <v>18186</v>
      </c>
      <c r="BW50" s="57">
        <v>17990</v>
      </c>
      <c r="BX50" s="57">
        <v>19623</v>
      </c>
      <c r="BY50" s="57">
        <v>17494</v>
      </c>
      <c r="BZ50" s="57">
        <v>19913</v>
      </c>
      <c r="CA50" s="57">
        <v>17646</v>
      </c>
      <c r="CB50" s="57">
        <v>17929</v>
      </c>
      <c r="CC50" s="57">
        <v>21264</v>
      </c>
      <c r="CD50" s="57">
        <v>24903</v>
      </c>
      <c r="CE50" s="57">
        <v>36546</v>
      </c>
      <c r="CF50" s="57">
        <v>8465</v>
      </c>
      <c r="CG50" s="57">
        <v>17009</v>
      </c>
      <c r="CH50" s="57">
        <v>16547</v>
      </c>
      <c r="CI50" s="57">
        <v>16018</v>
      </c>
      <c r="CJ50" s="57">
        <v>15528</v>
      </c>
      <c r="CK50" s="57">
        <v>9812</v>
      </c>
      <c r="CL50" s="57">
        <v>10710</v>
      </c>
      <c r="CM50" s="57">
        <v>7370</v>
      </c>
      <c r="CN50" s="57">
        <v>5433</v>
      </c>
      <c r="CO50" s="57">
        <v>4762</v>
      </c>
      <c r="CP50" s="57">
        <v>12000</v>
      </c>
      <c r="CQ50" s="57">
        <v>16863</v>
      </c>
      <c r="CR50" s="57">
        <v>3394</v>
      </c>
      <c r="CS50" s="57">
        <v>5670</v>
      </c>
      <c r="CT50" s="57">
        <v>10593</v>
      </c>
      <c r="CU50" s="57">
        <v>6555</v>
      </c>
      <c r="CV50" s="57">
        <v>6853</v>
      </c>
      <c r="CW50" s="57">
        <v>7919</v>
      </c>
      <c r="CX50" s="57">
        <v>2529</v>
      </c>
      <c r="CY50" s="57">
        <v>4702</v>
      </c>
      <c r="CZ50" s="57">
        <v>6684</v>
      </c>
      <c r="DA50" s="57">
        <v>9079</v>
      </c>
      <c r="DB50" s="57">
        <v>9118</v>
      </c>
      <c r="DC50" s="57">
        <v>19671</v>
      </c>
      <c r="DD50" s="57">
        <v>5257</v>
      </c>
      <c r="DE50" s="57">
        <v>9395</v>
      </c>
      <c r="DF50" s="57">
        <v>10121</v>
      </c>
      <c r="DG50" s="57">
        <v>4632</v>
      </c>
      <c r="DH50" s="57">
        <v>7162</v>
      </c>
      <c r="DI50" s="57">
        <v>13906</v>
      </c>
      <c r="DJ50" s="57">
        <v>17974</v>
      </c>
      <c r="DK50" s="57">
        <v>17161</v>
      </c>
      <c r="DL50" s="57">
        <v>19323</v>
      </c>
      <c r="DM50" s="57">
        <v>18392</v>
      </c>
      <c r="DN50" s="57">
        <v>15784</v>
      </c>
      <c r="DO50" s="57">
        <v>23572</v>
      </c>
      <c r="DP50" s="57">
        <v>8370</v>
      </c>
      <c r="DQ50" s="57">
        <v>16515</v>
      </c>
      <c r="DR50" s="57">
        <v>23607</v>
      </c>
      <c r="DS50" s="57">
        <v>13113</v>
      </c>
      <c r="DT50" s="57">
        <v>14311</v>
      </c>
      <c r="DU50" s="57">
        <v>17471</v>
      </c>
      <c r="DV50" s="57">
        <v>11538</v>
      </c>
      <c r="DW50" s="57">
        <v>13698</v>
      </c>
      <c r="DX50" s="57">
        <v>13733</v>
      </c>
      <c r="DY50" s="57">
        <v>16234</v>
      </c>
      <c r="DZ50" s="57">
        <v>17234</v>
      </c>
      <c r="EA50" s="57">
        <v>18684</v>
      </c>
    </row>
    <row r="51" spans="1:131" ht="12" customHeight="1" x14ac:dyDescent="0.25">
      <c r="A51" s="54" t="s">
        <v>4</v>
      </c>
      <c r="B51" s="57">
        <v>46415</v>
      </c>
      <c r="C51" s="57">
        <v>60258</v>
      </c>
      <c r="D51" s="57">
        <v>73486</v>
      </c>
      <c r="E51" s="57">
        <v>32000</v>
      </c>
      <c r="F51" s="57">
        <v>59874</v>
      </c>
      <c r="G51" s="57">
        <v>56134</v>
      </c>
      <c r="H51" s="57">
        <v>69446</v>
      </c>
      <c r="I51" s="57">
        <v>60334</v>
      </c>
      <c r="J51" s="57">
        <v>71434</v>
      </c>
      <c r="K51" s="57">
        <v>59383</v>
      </c>
      <c r="L51" s="57">
        <v>56976</v>
      </c>
      <c r="M51" s="57">
        <v>69904</v>
      </c>
      <c r="N51" s="57">
        <v>110037</v>
      </c>
      <c r="O51" s="57">
        <v>53001</v>
      </c>
      <c r="P51" s="57">
        <v>25548</v>
      </c>
      <c r="Q51" s="57">
        <v>72700</v>
      </c>
      <c r="R51" s="57">
        <v>67886</v>
      </c>
      <c r="S51" s="57">
        <v>54986</v>
      </c>
      <c r="T51" s="57">
        <v>68949</v>
      </c>
      <c r="U51" s="57">
        <v>59999</v>
      </c>
      <c r="V51" s="57">
        <v>69519</v>
      </c>
      <c r="W51" s="57">
        <v>54457</v>
      </c>
      <c r="X51" s="57">
        <v>51433</v>
      </c>
      <c r="Y51" s="57">
        <v>64490</v>
      </c>
      <c r="Z51" s="57">
        <v>96438</v>
      </c>
      <c r="AA51" s="57">
        <v>56366</v>
      </c>
      <c r="AB51" s="57">
        <v>59212</v>
      </c>
      <c r="AC51" s="57">
        <v>72119</v>
      </c>
      <c r="AD51" s="57">
        <v>70417</v>
      </c>
      <c r="AE51" s="57">
        <v>56063</v>
      </c>
      <c r="AF51" s="57">
        <v>76754</v>
      </c>
      <c r="AG51" s="57">
        <v>67173</v>
      </c>
      <c r="AH51" s="57">
        <v>78773</v>
      </c>
      <c r="AI51" s="57">
        <v>63993</v>
      </c>
      <c r="AJ51" s="57">
        <v>62489</v>
      </c>
      <c r="AK51" s="57">
        <v>74659</v>
      </c>
      <c r="AL51" s="57">
        <v>117399</v>
      </c>
      <c r="AM51" s="57">
        <v>52400</v>
      </c>
      <c r="AN51" s="57">
        <v>58999</v>
      </c>
      <c r="AO51" s="57">
        <v>73313</v>
      </c>
      <c r="AP51" s="57">
        <v>68885</v>
      </c>
      <c r="AQ51" s="57">
        <v>52145</v>
      </c>
      <c r="AR51" s="57">
        <v>86951</v>
      </c>
      <c r="AS51" s="57">
        <v>68177</v>
      </c>
      <c r="AT51" s="57">
        <v>76308</v>
      </c>
      <c r="AU51" s="57">
        <v>71572</v>
      </c>
      <c r="AV51" s="57">
        <v>57326</v>
      </c>
      <c r="AW51" s="57">
        <v>68911</v>
      </c>
      <c r="AX51" s="57">
        <v>108615</v>
      </c>
      <c r="AY51" s="57">
        <v>56106</v>
      </c>
      <c r="AZ51" s="57">
        <v>56225</v>
      </c>
      <c r="BA51" s="57">
        <v>77700</v>
      </c>
      <c r="BB51" s="57">
        <v>69201</v>
      </c>
      <c r="BC51" s="57">
        <v>55663</v>
      </c>
      <c r="BD51" s="57">
        <v>79615</v>
      </c>
      <c r="BE51" s="57">
        <v>64897</v>
      </c>
      <c r="BF51" s="57">
        <v>74764</v>
      </c>
      <c r="BG51" s="57">
        <v>61599</v>
      </c>
      <c r="BH51" s="57">
        <v>53882</v>
      </c>
      <c r="BI51" s="57">
        <v>69214</v>
      </c>
      <c r="BJ51" s="57">
        <v>103433</v>
      </c>
      <c r="BK51" s="57">
        <v>55497</v>
      </c>
      <c r="BL51" s="57">
        <v>56082</v>
      </c>
      <c r="BM51" s="57">
        <v>76583</v>
      </c>
      <c r="BN51" s="57">
        <v>67443</v>
      </c>
      <c r="BO51" s="57">
        <v>57287</v>
      </c>
      <c r="BP51" s="57">
        <v>79866</v>
      </c>
      <c r="BQ51" s="57">
        <v>64035</v>
      </c>
      <c r="BR51" s="57">
        <v>75769</v>
      </c>
      <c r="BS51" s="57">
        <v>64710</v>
      </c>
      <c r="BT51" s="57">
        <v>58227</v>
      </c>
      <c r="BU51" s="57">
        <v>71409</v>
      </c>
      <c r="BV51" s="57">
        <v>107603</v>
      </c>
      <c r="BW51" s="57">
        <v>57464</v>
      </c>
      <c r="BX51" s="57">
        <v>60185</v>
      </c>
      <c r="BY51" s="57">
        <v>81020</v>
      </c>
      <c r="BZ51" s="57">
        <v>81020</v>
      </c>
      <c r="CA51" s="57">
        <v>64485</v>
      </c>
      <c r="CB51" s="57">
        <v>77338</v>
      </c>
      <c r="CC51" s="57">
        <v>61678</v>
      </c>
      <c r="CD51" s="57">
        <v>74146</v>
      </c>
      <c r="CE51" s="57">
        <v>53213</v>
      </c>
      <c r="CF51" s="57">
        <v>59959</v>
      </c>
      <c r="CG51" s="57">
        <v>72072</v>
      </c>
      <c r="CH51" s="57">
        <v>104751</v>
      </c>
      <c r="CI51" s="57">
        <v>61129</v>
      </c>
      <c r="CJ51" s="57">
        <v>64144</v>
      </c>
      <c r="CK51" s="57">
        <v>78399</v>
      </c>
      <c r="CL51" s="57">
        <v>72647</v>
      </c>
      <c r="CM51" s="57">
        <v>61878</v>
      </c>
      <c r="CN51" s="57">
        <v>81322</v>
      </c>
      <c r="CO51" s="57">
        <v>72119</v>
      </c>
      <c r="CP51" s="57">
        <v>84636</v>
      </c>
      <c r="CQ51" s="57">
        <v>67855</v>
      </c>
      <c r="CR51" s="57">
        <v>65498</v>
      </c>
      <c r="CS51" s="57">
        <v>78051</v>
      </c>
      <c r="CT51" s="57">
        <v>108307</v>
      </c>
      <c r="CU51" s="57">
        <v>63737</v>
      </c>
      <c r="CV51" s="57">
        <v>68702</v>
      </c>
      <c r="CW51" s="57">
        <v>83423</v>
      </c>
      <c r="CX51" s="57">
        <v>80034</v>
      </c>
      <c r="CY51" s="57">
        <v>71421</v>
      </c>
      <c r="CZ51" s="57">
        <v>89353</v>
      </c>
      <c r="DA51" s="57">
        <v>54879</v>
      </c>
      <c r="DB51" s="57">
        <v>70123</v>
      </c>
      <c r="DC51" s="57">
        <v>60597</v>
      </c>
      <c r="DD51" s="57">
        <v>58909</v>
      </c>
      <c r="DE51" s="57">
        <v>68133</v>
      </c>
      <c r="DF51" s="57">
        <v>96231</v>
      </c>
      <c r="DG51" s="57">
        <v>51161</v>
      </c>
      <c r="DH51" s="57">
        <v>43881</v>
      </c>
      <c r="DI51" s="57">
        <v>63479</v>
      </c>
      <c r="DJ51" s="57">
        <f>64869+706</f>
        <v>65575</v>
      </c>
      <c r="DK51" s="57">
        <f>55538+552</f>
        <v>56090</v>
      </c>
      <c r="DL51" s="57">
        <f>78191+667</f>
        <v>78858</v>
      </c>
      <c r="DM51" s="57">
        <v>66928</v>
      </c>
      <c r="DN51" s="57">
        <v>74693</v>
      </c>
      <c r="DO51" s="57">
        <v>64696</v>
      </c>
      <c r="DP51" s="57">
        <v>59896</v>
      </c>
      <c r="DQ51" s="57">
        <v>70408</v>
      </c>
      <c r="DR51" s="57">
        <v>102617</v>
      </c>
      <c r="DS51" s="57">
        <v>61497</v>
      </c>
      <c r="DT51" s="57">
        <v>57796</v>
      </c>
      <c r="DU51" s="57">
        <v>69008</v>
      </c>
      <c r="DV51" s="57">
        <v>67985</v>
      </c>
      <c r="DW51" s="57">
        <v>56095</v>
      </c>
      <c r="DX51" s="57">
        <v>61407</v>
      </c>
      <c r="DY51" s="57">
        <v>48842</v>
      </c>
      <c r="DZ51" s="57">
        <v>60790</v>
      </c>
      <c r="EA51" s="57">
        <v>56301</v>
      </c>
    </row>
    <row r="52" spans="1:131" ht="12" customHeight="1" x14ac:dyDescent="0.25">
      <c r="A52" s="54" t="s">
        <v>5</v>
      </c>
      <c r="B52" s="57">
        <v>422743</v>
      </c>
      <c r="C52" s="57">
        <v>490112</v>
      </c>
      <c r="D52" s="57">
        <v>577519</v>
      </c>
      <c r="E52" s="57">
        <v>510737</v>
      </c>
      <c r="F52" s="57">
        <v>541280</v>
      </c>
      <c r="G52" s="57">
        <v>589124</v>
      </c>
      <c r="H52" s="57">
        <v>553365</v>
      </c>
      <c r="I52" s="57">
        <v>498408</v>
      </c>
      <c r="J52" s="57">
        <v>567266</v>
      </c>
      <c r="K52" s="57">
        <v>672065</v>
      </c>
      <c r="L52" s="57">
        <v>438835</v>
      </c>
      <c r="M52" s="57">
        <v>534517</v>
      </c>
      <c r="N52" s="57">
        <v>634462</v>
      </c>
      <c r="O52" s="57">
        <v>546682</v>
      </c>
      <c r="P52" s="57">
        <v>641908</v>
      </c>
      <c r="Q52" s="57">
        <v>630037</v>
      </c>
      <c r="R52" s="57">
        <v>567384</v>
      </c>
      <c r="S52" s="57">
        <v>609536</v>
      </c>
      <c r="T52" s="57">
        <v>591046</v>
      </c>
      <c r="U52" s="57">
        <v>538595</v>
      </c>
      <c r="V52" s="57">
        <v>578611</v>
      </c>
      <c r="W52" s="57">
        <v>706935</v>
      </c>
      <c r="X52" s="57">
        <v>506697</v>
      </c>
      <c r="Y52" s="57">
        <v>576629</v>
      </c>
      <c r="Z52" s="57">
        <v>684945</v>
      </c>
      <c r="AA52" s="57">
        <v>630213</v>
      </c>
      <c r="AB52" s="57">
        <v>713953</v>
      </c>
      <c r="AC52" s="57">
        <v>713948</v>
      </c>
      <c r="AD52" s="57">
        <v>697517</v>
      </c>
      <c r="AE52" s="57">
        <v>729335</v>
      </c>
      <c r="AF52" s="57">
        <v>585645</v>
      </c>
      <c r="AG52" s="57">
        <v>557692</v>
      </c>
      <c r="AH52" s="57">
        <v>652177</v>
      </c>
      <c r="AI52" s="57">
        <v>793249</v>
      </c>
      <c r="AJ52" s="57">
        <v>517732</v>
      </c>
      <c r="AK52" s="57">
        <v>612272</v>
      </c>
      <c r="AL52" s="57">
        <v>773270</v>
      </c>
      <c r="AM52" s="57">
        <v>709725</v>
      </c>
      <c r="AN52" s="57">
        <v>817221</v>
      </c>
      <c r="AO52" s="57">
        <v>718469</v>
      </c>
      <c r="AP52" s="57">
        <v>746132</v>
      </c>
      <c r="AQ52" s="57">
        <v>822936</v>
      </c>
      <c r="AR52" s="57">
        <v>660147</v>
      </c>
      <c r="AS52" s="57">
        <v>685122</v>
      </c>
      <c r="AT52" s="57">
        <v>703942</v>
      </c>
      <c r="AU52" s="57">
        <v>899256</v>
      </c>
      <c r="AV52" s="57">
        <v>623120</v>
      </c>
      <c r="AW52" s="57">
        <v>679784</v>
      </c>
      <c r="AX52" s="57">
        <v>814135</v>
      </c>
      <c r="AY52" s="57">
        <v>788080</v>
      </c>
      <c r="AZ52" s="57">
        <v>869766</v>
      </c>
      <c r="BA52" s="57">
        <v>799061</v>
      </c>
      <c r="BB52" s="57">
        <v>842066</v>
      </c>
      <c r="BC52" s="57">
        <v>889409</v>
      </c>
      <c r="BD52" s="57">
        <v>823351</v>
      </c>
      <c r="BE52" s="57">
        <v>834783</v>
      </c>
      <c r="BF52" s="57">
        <v>772986</v>
      </c>
      <c r="BG52" s="57">
        <v>992978</v>
      </c>
      <c r="BH52" s="57">
        <v>661812</v>
      </c>
      <c r="BI52" s="57">
        <v>771827</v>
      </c>
      <c r="BJ52" s="57">
        <v>908024</v>
      </c>
      <c r="BK52" s="57">
        <v>937841</v>
      </c>
      <c r="BL52" s="57">
        <v>905633</v>
      </c>
      <c r="BM52" s="57">
        <v>906801</v>
      </c>
      <c r="BN52" s="57">
        <v>914413</v>
      </c>
      <c r="BO52" s="57">
        <v>940404</v>
      </c>
      <c r="BP52" s="57">
        <v>860575</v>
      </c>
      <c r="BQ52" s="57">
        <v>884588</v>
      </c>
      <c r="BR52" s="57">
        <v>867353</v>
      </c>
      <c r="BS52" s="57">
        <v>1086703</v>
      </c>
      <c r="BT52" s="57">
        <v>729808</v>
      </c>
      <c r="BU52" s="57">
        <v>846985</v>
      </c>
      <c r="BV52" s="57">
        <v>963822</v>
      </c>
      <c r="BW52" s="57">
        <v>888998</v>
      </c>
      <c r="BX52" s="57">
        <v>954147</v>
      </c>
      <c r="BY52" s="57">
        <v>951077</v>
      </c>
      <c r="BZ52" s="57">
        <v>912102</v>
      </c>
      <c r="CA52" s="57">
        <v>957902</v>
      </c>
      <c r="CB52" s="57">
        <v>987238</v>
      </c>
      <c r="CC52" s="57">
        <v>894645</v>
      </c>
      <c r="CD52" s="57">
        <v>932875</v>
      </c>
      <c r="CE52" s="57">
        <v>1084804</v>
      </c>
      <c r="CF52" s="57">
        <v>790137</v>
      </c>
      <c r="CG52" s="57">
        <v>878618</v>
      </c>
      <c r="CH52" s="57">
        <v>1116267</v>
      </c>
      <c r="CI52" s="57">
        <v>931093</v>
      </c>
      <c r="CJ52" s="57">
        <v>1088496</v>
      </c>
      <c r="CK52" s="57">
        <v>1044287</v>
      </c>
      <c r="CL52" s="57">
        <v>831987</v>
      </c>
      <c r="CM52" s="57">
        <v>1184349</v>
      </c>
      <c r="CN52" s="57">
        <v>1002293</v>
      </c>
      <c r="CO52" s="57">
        <v>940581</v>
      </c>
      <c r="CP52" s="57">
        <v>986406</v>
      </c>
      <c r="CQ52" s="57">
        <v>1180516</v>
      </c>
      <c r="CR52" s="57">
        <v>771003</v>
      </c>
      <c r="CS52" s="57">
        <v>901331</v>
      </c>
      <c r="CT52" s="57">
        <v>1122183</v>
      </c>
      <c r="CU52" s="57">
        <v>933472</v>
      </c>
      <c r="CV52" s="57">
        <v>1138712</v>
      </c>
      <c r="CW52" s="57">
        <v>1076634</v>
      </c>
      <c r="CX52" s="57">
        <v>997270</v>
      </c>
      <c r="CY52" s="57">
        <v>1180926</v>
      </c>
      <c r="CZ52" s="57">
        <v>901512</v>
      </c>
      <c r="DA52" s="57">
        <v>971892</v>
      </c>
      <c r="DB52" s="57">
        <v>1019917</v>
      </c>
      <c r="DC52" s="57">
        <v>1119186</v>
      </c>
      <c r="DD52" s="57">
        <v>211662</v>
      </c>
      <c r="DE52" s="57">
        <v>256080</v>
      </c>
      <c r="DF52" s="57">
        <v>232595</v>
      </c>
      <c r="DG52" s="57">
        <v>201416</v>
      </c>
      <c r="DH52" s="57">
        <v>225291</v>
      </c>
      <c r="DI52" s="57">
        <v>237395</v>
      </c>
      <c r="DJ52" s="57">
        <v>244812</v>
      </c>
      <c r="DK52" s="57">
        <v>240774</v>
      </c>
      <c r="DL52" s="57">
        <v>305081</v>
      </c>
      <c r="DM52" s="57">
        <v>237304</v>
      </c>
      <c r="DN52" s="57">
        <v>228603</v>
      </c>
      <c r="DO52" s="57">
        <v>362524</v>
      </c>
      <c r="DP52" s="57">
        <v>225721</v>
      </c>
      <c r="DQ52" s="57">
        <v>246369</v>
      </c>
      <c r="DR52" s="57">
        <v>407911</v>
      </c>
      <c r="DS52" s="57">
        <v>308045</v>
      </c>
      <c r="DT52" s="57">
        <v>291659</v>
      </c>
      <c r="DU52" s="57">
        <v>151331</v>
      </c>
      <c r="DV52" s="57">
        <v>344446</v>
      </c>
      <c r="DW52" s="57">
        <v>220516</v>
      </c>
      <c r="DX52" s="57">
        <v>211407</v>
      </c>
      <c r="DY52" s="57">
        <v>141177</v>
      </c>
      <c r="DZ52" s="57">
        <v>237572</v>
      </c>
      <c r="EA52" s="57">
        <v>280520</v>
      </c>
    </row>
    <row r="53" spans="1:131" ht="12" customHeight="1" x14ac:dyDescent="0.25">
      <c r="A53" s="54" t="s">
        <v>6</v>
      </c>
      <c r="B53" s="57">
        <v>365371</v>
      </c>
      <c r="C53" s="57">
        <v>299756</v>
      </c>
      <c r="D53" s="57">
        <v>480910</v>
      </c>
      <c r="E53" s="57">
        <v>409696</v>
      </c>
      <c r="F53" s="57">
        <v>263460</v>
      </c>
      <c r="G53" s="57">
        <v>285911</v>
      </c>
      <c r="H53" s="57">
        <v>326584</v>
      </c>
      <c r="I53" s="57">
        <v>304043</v>
      </c>
      <c r="J53" s="57">
        <v>312290</v>
      </c>
      <c r="K53" s="57">
        <v>320723</v>
      </c>
      <c r="L53" s="57">
        <v>229200</v>
      </c>
      <c r="M53" s="57">
        <v>354000</v>
      </c>
      <c r="N53" s="57">
        <v>438542</v>
      </c>
      <c r="O53" s="57">
        <v>348374</v>
      </c>
      <c r="P53" s="57">
        <v>325288</v>
      </c>
      <c r="Q53" s="57">
        <v>293300</v>
      </c>
      <c r="R53" s="57">
        <v>259160</v>
      </c>
      <c r="S53" s="57">
        <v>276343</v>
      </c>
      <c r="T53" s="57">
        <v>301786</v>
      </c>
      <c r="U53" s="57">
        <v>307049</v>
      </c>
      <c r="V53" s="57">
        <v>329736</v>
      </c>
      <c r="W53" s="57">
        <v>347030</v>
      </c>
      <c r="X53" s="57">
        <v>308963</v>
      </c>
      <c r="Y53" s="57">
        <v>242727</v>
      </c>
      <c r="Z53" s="57">
        <v>449614</v>
      </c>
      <c r="AA53" s="57">
        <v>400295</v>
      </c>
      <c r="AB53" s="57">
        <v>364600</v>
      </c>
      <c r="AC53" s="57">
        <v>350600</v>
      </c>
      <c r="AD53" s="57">
        <v>278694</v>
      </c>
      <c r="AE53" s="57">
        <v>295700</v>
      </c>
      <c r="AF53" s="57">
        <v>342308</v>
      </c>
      <c r="AG53" s="57">
        <v>326900</v>
      </c>
      <c r="AH53" s="57">
        <v>347600</v>
      </c>
      <c r="AI53" s="57">
        <v>357200</v>
      </c>
      <c r="AJ53" s="57">
        <v>309500</v>
      </c>
      <c r="AK53" s="57">
        <v>284217</v>
      </c>
      <c r="AL53" s="57">
        <v>459018</v>
      </c>
      <c r="AM53" s="57">
        <v>395218</v>
      </c>
      <c r="AN53" s="57">
        <v>320800</v>
      </c>
      <c r="AO53" s="57">
        <v>281730</v>
      </c>
      <c r="AP53" s="57">
        <v>260196</v>
      </c>
      <c r="AQ53" s="57">
        <v>247400</v>
      </c>
      <c r="AR53" s="57">
        <v>287588</v>
      </c>
      <c r="AS53" s="57">
        <v>278317</v>
      </c>
      <c r="AT53" s="57">
        <v>315563</v>
      </c>
      <c r="AU53" s="57">
        <v>351722</v>
      </c>
      <c r="AV53" s="57">
        <v>281608</v>
      </c>
      <c r="AW53" s="57">
        <v>196568</v>
      </c>
      <c r="AX53" s="57">
        <v>370207</v>
      </c>
      <c r="AY53" s="57">
        <v>325683</v>
      </c>
      <c r="AZ53" s="57">
        <v>294500</v>
      </c>
      <c r="BA53" s="57">
        <v>291651</v>
      </c>
      <c r="BB53" s="57">
        <v>234420</v>
      </c>
      <c r="BC53" s="57">
        <v>246027</v>
      </c>
      <c r="BD53" s="57">
        <v>273600</v>
      </c>
      <c r="BE53" s="57">
        <v>284690</v>
      </c>
      <c r="BF53" s="57">
        <v>311991</v>
      </c>
      <c r="BG53" s="57">
        <v>312990</v>
      </c>
      <c r="BH53" s="57">
        <v>271900</v>
      </c>
      <c r="BI53" s="57">
        <v>204238</v>
      </c>
      <c r="BJ53" s="57">
        <v>384003</v>
      </c>
      <c r="BK53" s="57">
        <v>343298</v>
      </c>
      <c r="BL53" s="57">
        <v>298637</v>
      </c>
      <c r="BM53" s="57">
        <v>286614</v>
      </c>
      <c r="BN53" s="57">
        <v>247387</v>
      </c>
      <c r="BO53" s="57">
        <v>275531</v>
      </c>
      <c r="BP53" s="57">
        <v>295800</v>
      </c>
      <c r="BQ53" s="57">
        <v>305712</v>
      </c>
      <c r="BR53" s="57">
        <v>348496</v>
      </c>
      <c r="BS53" s="57">
        <v>389657</v>
      </c>
      <c r="BT53" s="57">
        <v>301313</v>
      </c>
      <c r="BU53" s="57">
        <v>306500</v>
      </c>
      <c r="BV53" s="57">
        <v>446600</v>
      </c>
      <c r="BW53" s="57">
        <v>361742</v>
      </c>
      <c r="BX53" s="57">
        <v>344725</v>
      </c>
      <c r="BY53" s="57">
        <v>340070</v>
      </c>
      <c r="BZ53" s="57">
        <v>292812</v>
      </c>
      <c r="CA53" s="57">
        <v>310815</v>
      </c>
      <c r="CB53" s="57">
        <v>366562</v>
      </c>
      <c r="CC53" s="57">
        <v>351069</v>
      </c>
      <c r="CD53" s="57">
        <v>368137</v>
      </c>
      <c r="CE53" s="57">
        <v>370238</v>
      </c>
      <c r="CF53" s="57">
        <v>353100</v>
      </c>
      <c r="CG53" s="57">
        <v>242045</v>
      </c>
      <c r="CH53" s="57">
        <v>487689</v>
      </c>
      <c r="CI53" s="57">
        <v>404183</v>
      </c>
      <c r="CJ53" s="57">
        <v>398292</v>
      </c>
      <c r="CK53" s="57">
        <v>399488</v>
      </c>
      <c r="CL53" s="57">
        <v>299571</v>
      </c>
      <c r="CM53" s="57">
        <v>313488</v>
      </c>
      <c r="CN53" s="57">
        <v>333584</v>
      </c>
      <c r="CO53" s="57">
        <v>333287</v>
      </c>
      <c r="CP53" s="57">
        <v>374334</v>
      </c>
      <c r="CQ53" s="57">
        <v>431739</v>
      </c>
      <c r="CR53" s="57">
        <v>346189</v>
      </c>
      <c r="CS53" s="57">
        <v>262105</v>
      </c>
      <c r="CT53" s="57">
        <v>500570</v>
      </c>
      <c r="CU53" s="57">
        <v>405620</v>
      </c>
      <c r="CV53" s="57">
        <v>351393</v>
      </c>
      <c r="CW53" s="57">
        <v>328529</v>
      </c>
      <c r="CX53" s="57">
        <v>280567</v>
      </c>
      <c r="CY53" s="57">
        <v>304664</v>
      </c>
      <c r="CZ53" s="57">
        <v>340046</v>
      </c>
      <c r="DA53" s="57">
        <v>356501</v>
      </c>
      <c r="DB53" s="57">
        <v>400210</v>
      </c>
      <c r="DC53" s="57">
        <v>448103</v>
      </c>
      <c r="DD53" s="57">
        <v>320350</v>
      </c>
      <c r="DE53" s="57">
        <v>86337</v>
      </c>
      <c r="DF53" s="57">
        <v>387528</v>
      </c>
      <c r="DG53" s="57">
        <v>533756</v>
      </c>
      <c r="DH53" s="57">
        <v>519898</v>
      </c>
      <c r="DI53" s="57">
        <v>536070</v>
      </c>
      <c r="DJ53" s="57">
        <v>447114</v>
      </c>
      <c r="DK53" s="57">
        <v>431283</v>
      </c>
      <c r="DL53" s="57">
        <v>477010</v>
      </c>
      <c r="DM53" s="57">
        <v>463671</v>
      </c>
      <c r="DN53" s="57">
        <v>472265</v>
      </c>
      <c r="DO53" s="57">
        <v>456056</v>
      </c>
      <c r="DP53" s="57">
        <v>458399</v>
      </c>
      <c r="DQ53" s="57">
        <v>298919</v>
      </c>
      <c r="DR53" s="57">
        <v>651299</v>
      </c>
      <c r="DS53" s="57">
        <v>547752</v>
      </c>
      <c r="DT53" s="57">
        <v>481684</v>
      </c>
      <c r="DU53" s="57">
        <v>446228</v>
      </c>
      <c r="DV53" s="57">
        <v>312155</v>
      </c>
      <c r="DW53" s="57">
        <v>246854</v>
      </c>
      <c r="DX53" s="57">
        <v>316582</v>
      </c>
      <c r="DY53" s="57">
        <v>325985</v>
      </c>
      <c r="DZ53" s="57">
        <v>329638</v>
      </c>
      <c r="EA53" s="57">
        <v>377707</v>
      </c>
    </row>
    <row r="54" spans="1:131" ht="12" customHeight="1" x14ac:dyDescent="0.25">
      <c r="A54" s="54" t="s">
        <v>7</v>
      </c>
      <c r="B54" s="57">
        <v>20773</v>
      </c>
      <c r="C54" s="57">
        <v>19720</v>
      </c>
      <c r="D54" s="57">
        <v>24260</v>
      </c>
      <c r="E54" s="57">
        <v>22597</v>
      </c>
      <c r="F54" s="57">
        <v>22546</v>
      </c>
      <c r="G54" s="57">
        <v>18746</v>
      </c>
      <c r="H54" s="57">
        <v>21297</v>
      </c>
      <c r="I54" s="57">
        <v>23557</v>
      </c>
      <c r="J54" s="57">
        <v>21999</v>
      </c>
      <c r="K54" s="57">
        <v>23064</v>
      </c>
      <c r="L54" s="57">
        <v>14977</v>
      </c>
      <c r="M54" s="57">
        <v>14258</v>
      </c>
      <c r="N54" s="57">
        <v>21818</v>
      </c>
      <c r="O54" s="57">
        <v>21242</v>
      </c>
      <c r="P54" s="57">
        <v>20826</v>
      </c>
      <c r="Q54" s="57">
        <v>21727</v>
      </c>
      <c r="R54" s="57">
        <v>20976</v>
      </c>
      <c r="S54" s="57">
        <v>19703</v>
      </c>
      <c r="T54" s="57">
        <v>15979</v>
      </c>
      <c r="U54" s="57">
        <v>22487</v>
      </c>
      <c r="V54" s="57">
        <v>23825</v>
      </c>
      <c r="W54" s="57">
        <v>21367</v>
      </c>
      <c r="X54" s="57">
        <v>21675</v>
      </c>
      <c r="Y54" s="57">
        <v>18571</v>
      </c>
      <c r="Z54" s="57">
        <v>20996</v>
      </c>
      <c r="AA54" s="57">
        <v>21726</v>
      </c>
      <c r="AB54" s="57">
        <v>21327</v>
      </c>
      <c r="AC54" s="57">
        <v>20613</v>
      </c>
      <c r="AD54" s="57">
        <v>19347</v>
      </c>
      <c r="AE54" s="57">
        <v>16459</v>
      </c>
      <c r="AF54" s="57">
        <v>15943</v>
      </c>
      <c r="AG54" s="57">
        <v>23684</v>
      </c>
      <c r="AH54" s="57">
        <v>22973</v>
      </c>
      <c r="AI54" s="57">
        <v>22996</v>
      </c>
      <c r="AJ54" s="57">
        <v>20443</v>
      </c>
      <c r="AK54" s="57">
        <v>20856</v>
      </c>
      <c r="AL54" s="57">
        <v>23499</v>
      </c>
      <c r="AM54" s="57">
        <v>25000</v>
      </c>
      <c r="AN54" s="57">
        <v>19601</v>
      </c>
      <c r="AO54" s="57">
        <v>21392</v>
      </c>
      <c r="AP54" s="57">
        <v>21053</v>
      </c>
      <c r="AQ54" s="57">
        <v>16564</v>
      </c>
      <c r="AR54" s="57">
        <v>16585</v>
      </c>
      <c r="AS54" s="57">
        <v>21384</v>
      </c>
      <c r="AT54" s="57">
        <v>24076</v>
      </c>
      <c r="AU54" s="57">
        <v>23077</v>
      </c>
      <c r="AV54" s="57">
        <v>22325</v>
      </c>
      <c r="AW54" s="57">
        <v>18726</v>
      </c>
      <c r="AX54" s="57">
        <v>23668</v>
      </c>
      <c r="AY54" s="57">
        <v>23770</v>
      </c>
      <c r="AZ54" s="57">
        <v>19874</v>
      </c>
      <c r="BA54" s="57">
        <v>25816</v>
      </c>
      <c r="BB54" s="57">
        <v>25335</v>
      </c>
      <c r="BC54" s="57">
        <v>17665</v>
      </c>
      <c r="BD54" s="57">
        <v>19455</v>
      </c>
      <c r="BE54" s="57">
        <v>23302</v>
      </c>
      <c r="BF54" s="57">
        <v>21801</v>
      </c>
      <c r="BG54" s="57">
        <v>20880</v>
      </c>
      <c r="BH54" s="57">
        <v>21141</v>
      </c>
      <c r="BI54" s="57">
        <v>18491</v>
      </c>
      <c r="BJ54" s="57">
        <v>25695</v>
      </c>
      <c r="BK54" s="57">
        <v>23242</v>
      </c>
      <c r="BL54" s="57">
        <v>23252</v>
      </c>
      <c r="BM54" s="57">
        <v>25531</v>
      </c>
      <c r="BN54" s="57">
        <v>23027</v>
      </c>
      <c r="BO54" s="57">
        <v>16667</v>
      </c>
      <c r="BP54" s="57">
        <v>14309</v>
      </c>
      <c r="BQ54" s="57">
        <v>17899</v>
      </c>
      <c r="BR54" s="57">
        <v>23408</v>
      </c>
      <c r="BS54" s="57">
        <v>24116</v>
      </c>
      <c r="BT54" s="57">
        <v>19940</v>
      </c>
      <c r="BU54" s="57">
        <f>16351+5560</f>
        <v>21911</v>
      </c>
      <c r="BV54" s="57">
        <f>19506+6407</f>
        <v>25913</v>
      </c>
      <c r="BW54" s="57">
        <v>23604</v>
      </c>
      <c r="BX54" s="57">
        <v>23869</v>
      </c>
      <c r="BY54" s="57">
        <v>24538</v>
      </c>
      <c r="BZ54" s="57">
        <v>22536</v>
      </c>
      <c r="CA54" s="57">
        <v>18829</v>
      </c>
      <c r="CB54" s="57">
        <v>21254</v>
      </c>
      <c r="CC54" s="57">
        <v>18643</v>
      </c>
      <c r="CD54" s="57">
        <v>25000</v>
      </c>
      <c r="CE54" s="57">
        <v>18755</v>
      </c>
      <c r="CF54" s="57">
        <v>18661</v>
      </c>
      <c r="CG54" s="57">
        <v>18410</v>
      </c>
      <c r="CH54" s="57">
        <v>23310</v>
      </c>
      <c r="CI54" s="57">
        <v>25923</v>
      </c>
      <c r="CJ54" s="57">
        <v>22165</v>
      </c>
      <c r="CK54" s="57">
        <v>22840</v>
      </c>
      <c r="CL54" s="57">
        <v>21743</v>
      </c>
      <c r="CM54" s="57">
        <v>17145</v>
      </c>
      <c r="CN54" s="57">
        <v>18615</v>
      </c>
      <c r="CO54" s="57">
        <v>23630</v>
      </c>
      <c r="CP54" s="57">
        <v>23033</v>
      </c>
      <c r="CQ54" s="57">
        <v>21444</v>
      </c>
      <c r="CR54" s="57">
        <v>18995</v>
      </c>
      <c r="CS54" s="57">
        <v>17800</v>
      </c>
      <c r="CT54" s="57">
        <v>24466</v>
      </c>
      <c r="CU54" s="57">
        <v>24152</v>
      </c>
      <c r="CV54" s="57">
        <v>22562</v>
      </c>
      <c r="CW54" s="57">
        <v>21228</v>
      </c>
      <c r="CX54" s="57">
        <v>23240</v>
      </c>
      <c r="CY54" s="57">
        <v>16503</v>
      </c>
      <c r="CZ54" s="57">
        <v>14121</v>
      </c>
      <c r="DA54" s="57">
        <v>20243</v>
      </c>
      <c r="DB54" s="57">
        <v>23327</v>
      </c>
      <c r="DC54" s="57">
        <v>19339</v>
      </c>
      <c r="DD54" s="57">
        <v>20518</v>
      </c>
      <c r="DE54" s="57">
        <v>18107</v>
      </c>
      <c r="DF54" s="57">
        <v>24970</v>
      </c>
      <c r="DG54" s="57">
        <v>22766</v>
      </c>
      <c r="DH54" s="57">
        <v>22524</v>
      </c>
      <c r="DI54" s="57">
        <v>24737</v>
      </c>
      <c r="DJ54" s="57">
        <v>27017</v>
      </c>
      <c r="DK54" s="57">
        <f>133566-114671</f>
        <v>18895</v>
      </c>
      <c r="DL54" s="57">
        <v>24264</v>
      </c>
      <c r="DM54" s="57">
        <v>24615</v>
      </c>
      <c r="DN54" s="57">
        <v>23906</v>
      </c>
      <c r="DO54" s="57">
        <v>22443</v>
      </c>
      <c r="DP54" s="57">
        <v>20988</v>
      </c>
      <c r="DQ54" s="57">
        <v>18380</v>
      </c>
      <c r="DR54" s="57">
        <v>27083</v>
      </c>
      <c r="DS54" s="57">
        <v>23199</v>
      </c>
      <c r="DT54" s="57">
        <v>21406</v>
      </c>
      <c r="DU54" s="57">
        <v>26322</v>
      </c>
      <c r="DV54" s="57">
        <v>24371</v>
      </c>
      <c r="DW54" s="57">
        <v>20385</v>
      </c>
      <c r="DX54" s="57">
        <v>16406</v>
      </c>
      <c r="DY54" s="57">
        <v>15732</v>
      </c>
      <c r="DZ54" s="57">
        <v>22998</v>
      </c>
      <c r="EA54" s="57">
        <v>20840</v>
      </c>
    </row>
    <row r="55" spans="1:131" ht="12" customHeight="1" x14ac:dyDescent="0.25">
      <c r="A55" s="54" t="s">
        <v>8</v>
      </c>
      <c r="B55" s="57">
        <v>49533</v>
      </c>
      <c r="C55" s="57">
        <v>56647</v>
      </c>
      <c r="D55" s="57">
        <v>64334</v>
      </c>
      <c r="E55" s="57">
        <v>77814</v>
      </c>
      <c r="F55" s="57">
        <v>83570</v>
      </c>
      <c r="G55" s="57">
        <v>91183</v>
      </c>
      <c r="H55" s="57">
        <v>85490</v>
      </c>
      <c r="I55" s="57">
        <v>77216</v>
      </c>
      <c r="J55" s="57">
        <v>78003</v>
      </c>
      <c r="K55" s="57">
        <v>96809</v>
      </c>
      <c r="L55" s="57">
        <v>72060</v>
      </c>
      <c r="M55" s="57">
        <v>64331</v>
      </c>
      <c r="N55" s="57">
        <v>80756</v>
      </c>
      <c r="O55" s="57">
        <v>69147</v>
      </c>
      <c r="P55" s="57">
        <v>77732</v>
      </c>
      <c r="Q55" s="57">
        <v>78528</v>
      </c>
      <c r="R55" s="57">
        <v>83887</v>
      </c>
      <c r="S55" s="57">
        <v>94309</v>
      </c>
      <c r="T55" s="57">
        <v>74404</v>
      </c>
      <c r="U55" s="57">
        <v>91865</v>
      </c>
      <c r="V55" s="57">
        <v>79285</v>
      </c>
      <c r="W55" s="57">
        <v>84227</v>
      </c>
      <c r="X55" s="57">
        <v>80110</v>
      </c>
      <c r="Y55" s="57">
        <v>63029</v>
      </c>
      <c r="Z55" s="57">
        <v>74115</v>
      </c>
      <c r="AA55" s="57">
        <v>87923</v>
      </c>
      <c r="AB55" s="57">
        <v>83259</v>
      </c>
      <c r="AC55" s="57">
        <v>88614</v>
      </c>
      <c r="AD55" s="57">
        <v>92258</v>
      </c>
      <c r="AE55" s="57">
        <v>87506</v>
      </c>
      <c r="AF55" s="57">
        <f>72540+12966</f>
        <v>85506</v>
      </c>
      <c r="AG55" s="57">
        <v>91461</v>
      </c>
      <c r="AH55" s="57">
        <v>79900</v>
      </c>
      <c r="AI55" s="57">
        <v>77579</v>
      </c>
      <c r="AJ55" s="57">
        <v>83948</v>
      </c>
      <c r="AK55" s="57">
        <v>76700</v>
      </c>
      <c r="AL55" s="57">
        <v>69946</v>
      </c>
      <c r="AM55" s="57">
        <v>82015</v>
      </c>
      <c r="AN55" s="57">
        <v>86199</v>
      </c>
      <c r="AO55" s="57">
        <v>77276</v>
      </c>
      <c r="AP55" s="57">
        <v>86816</v>
      </c>
      <c r="AQ55" s="57">
        <v>79349</v>
      </c>
      <c r="AR55" s="57">
        <v>86505</v>
      </c>
      <c r="AS55" s="57">
        <v>90313</v>
      </c>
      <c r="AT55" s="57">
        <v>84306</v>
      </c>
      <c r="AU55" s="57">
        <v>97977</v>
      </c>
      <c r="AV55" s="57">
        <v>61059</v>
      </c>
      <c r="AW55" s="57">
        <v>36113</v>
      </c>
      <c r="AX55" s="57">
        <v>40411</v>
      </c>
      <c r="AY55" s="57">
        <v>40146</v>
      </c>
      <c r="AZ55" s="57">
        <v>37077</v>
      </c>
      <c r="BA55" s="57">
        <v>37263</v>
      </c>
      <c r="BB55" s="57">
        <v>40613</v>
      </c>
      <c r="BC55" s="57">
        <v>34635</v>
      </c>
      <c r="BD55" s="57">
        <v>33734</v>
      </c>
      <c r="BE55" s="57">
        <v>30542</v>
      </c>
      <c r="BF55" s="57">
        <v>29226</v>
      </c>
      <c r="BG55" s="57">
        <v>25521</v>
      </c>
      <c r="BH55" s="57">
        <v>24028</v>
      </c>
      <c r="BI55" s="57">
        <v>24081</v>
      </c>
      <c r="BJ55" s="57">
        <v>31639</v>
      </c>
      <c r="BK55" s="57">
        <v>31735</v>
      </c>
      <c r="BL55" s="57">
        <v>30061</v>
      </c>
      <c r="BM55" s="57">
        <v>31380</v>
      </c>
      <c r="BN55" s="57">
        <v>34826</v>
      </c>
      <c r="BO55" s="57">
        <v>35013</v>
      </c>
      <c r="BP55" s="57">
        <v>29106</v>
      </c>
      <c r="BQ55" s="57">
        <v>26819</v>
      </c>
      <c r="BR55" s="57">
        <v>26287</v>
      </c>
      <c r="BS55" s="57">
        <v>36018</v>
      </c>
      <c r="BT55" s="57">
        <v>25830</v>
      </c>
      <c r="BU55" s="57">
        <v>23280</v>
      </c>
      <c r="BV55" s="57">
        <v>31059</v>
      </c>
      <c r="BW55" s="57">
        <v>25417</v>
      </c>
      <c r="BX55" s="57">
        <v>32274</v>
      </c>
      <c r="BY55" s="57">
        <v>33772</v>
      </c>
      <c r="BZ55" s="57">
        <v>33135</v>
      </c>
      <c r="CA55" s="57">
        <v>35646</v>
      </c>
      <c r="CB55" s="57">
        <v>31173</v>
      </c>
      <c r="CC55" s="57">
        <v>36026</v>
      </c>
      <c r="CD55" s="57">
        <v>35313</v>
      </c>
      <c r="CE55" s="57">
        <v>40641</v>
      </c>
      <c r="CF55" s="57">
        <v>32365</v>
      </c>
      <c r="CG55" s="57">
        <v>21952</v>
      </c>
      <c r="CH55" s="57">
        <v>34544</v>
      </c>
      <c r="CI55" s="57">
        <v>43960</v>
      </c>
      <c r="CJ55" s="57">
        <v>37454</v>
      </c>
      <c r="CK55" s="57">
        <v>38470</v>
      </c>
      <c r="CL55" s="57">
        <v>41298</v>
      </c>
      <c r="CM55" s="57">
        <v>44712</v>
      </c>
      <c r="CN55" s="57">
        <v>40157</v>
      </c>
      <c r="CO55" s="57">
        <v>45918</v>
      </c>
      <c r="CP55" s="57">
        <v>40224</v>
      </c>
      <c r="CQ55" s="57">
        <v>43338</v>
      </c>
      <c r="CR55" s="57">
        <v>36001</v>
      </c>
      <c r="CS55" s="57">
        <v>36116</v>
      </c>
      <c r="CT55" s="57">
        <v>39017</v>
      </c>
      <c r="CU55" s="57">
        <v>42855</v>
      </c>
      <c r="CV55" s="57">
        <v>46687</v>
      </c>
      <c r="CW55" s="57">
        <v>41922</v>
      </c>
      <c r="CX55" s="57">
        <v>47786</v>
      </c>
      <c r="CY55" s="57">
        <v>35605</v>
      </c>
      <c r="CZ55" s="57">
        <v>47048</v>
      </c>
      <c r="DA55" s="57">
        <v>48849</v>
      </c>
      <c r="DB55" s="57">
        <v>45540</v>
      </c>
      <c r="DC55" s="57">
        <v>58462</v>
      </c>
      <c r="DD55" s="57">
        <v>38893</v>
      </c>
      <c r="DE55" s="57">
        <v>35847</v>
      </c>
      <c r="DF55" s="57">
        <v>32350</v>
      </c>
      <c r="DG55" s="57">
        <v>16234</v>
      </c>
      <c r="DH55" s="57">
        <v>18058</v>
      </c>
      <c r="DI55" s="57">
        <v>30433</v>
      </c>
      <c r="DJ55" s="57">
        <f>211350-171815</f>
        <v>39535</v>
      </c>
      <c r="DK55" s="57">
        <f>31498+8072+1777</f>
        <v>41347</v>
      </c>
      <c r="DL55" s="57">
        <f>207738-161093</f>
        <v>46645</v>
      </c>
      <c r="DM55" s="57">
        <v>46434</v>
      </c>
      <c r="DN55" s="57">
        <v>47465</v>
      </c>
      <c r="DO55" s="57">
        <v>49254</v>
      </c>
      <c r="DP55" s="57">
        <v>40342</v>
      </c>
      <c r="DQ55" s="57">
        <v>39280</v>
      </c>
      <c r="DR55" s="57">
        <v>47437</v>
      </c>
      <c r="DS55" s="57">
        <v>47653</v>
      </c>
      <c r="DT55" s="57">
        <v>45977</v>
      </c>
      <c r="DU55" s="57">
        <v>49138</v>
      </c>
      <c r="DV55" s="57">
        <v>51875</v>
      </c>
      <c r="DW55" s="57">
        <v>38729</v>
      </c>
      <c r="DX55" s="57">
        <v>45990</v>
      </c>
      <c r="DY55" s="57">
        <v>31069</v>
      </c>
      <c r="DZ55" s="57">
        <v>46983</v>
      </c>
      <c r="EA55" s="57">
        <v>50933</v>
      </c>
    </row>
    <row r="56" spans="1:131" ht="12" customHeight="1" x14ac:dyDescent="0.25">
      <c r="A56" s="54" t="s">
        <v>9</v>
      </c>
      <c r="B56" s="57">
        <v>60753</v>
      </c>
      <c r="C56" s="57">
        <v>64057</v>
      </c>
      <c r="D56" s="57">
        <v>77688</v>
      </c>
      <c r="E56" s="57">
        <v>53202</v>
      </c>
      <c r="F56" s="57">
        <v>64241</v>
      </c>
      <c r="G56" s="57">
        <v>64248</v>
      </c>
      <c r="H56" s="57">
        <v>70634</v>
      </c>
      <c r="I56" s="57">
        <v>61800</v>
      </c>
      <c r="J56" s="57">
        <v>66264</v>
      </c>
      <c r="K56" s="57">
        <v>72192</v>
      </c>
      <c r="L56" s="57">
        <v>69859</v>
      </c>
      <c r="M56" s="57">
        <v>76891</v>
      </c>
      <c r="N56" s="57">
        <v>90415</v>
      </c>
      <c r="O56" s="57">
        <v>56257</v>
      </c>
      <c r="P56" s="57">
        <v>62025</v>
      </c>
      <c r="Q56" s="57">
        <v>64926</v>
      </c>
      <c r="R56" s="57">
        <v>66858</v>
      </c>
      <c r="S56" s="57">
        <v>66767</v>
      </c>
      <c r="T56" s="57">
        <v>70683</v>
      </c>
      <c r="U56" s="57">
        <v>66722</v>
      </c>
      <c r="V56" s="57">
        <v>61410</v>
      </c>
      <c r="W56" s="57">
        <v>60936</v>
      </c>
      <c r="X56" s="57">
        <v>63218</v>
      </c>
      <c r="Y56" s="57">
        <v>68388</v>
      </c>
      <c r="Z56" s="57">
        <v>84956</v>
      </c>
      <c r="AA56" s="57">
        <v>56678</v>
      </c>
      <c r="AB56" s="57">
        <v>55458</v>
      </c>
      <c r="AC56" s="57">
        <v>56197</v>
      </c>
      <c r="AD56" s="57">
        <v>55301</v>
      </c>
      <c r="AE56" s="57">
        <v>51334</v>
      </c>
      <c r="AF56" s="57">
        <f>36207+12907+2566</f>
        <v>51680</v>
      </c>
      <c r="AG56" s="57">
        <v>53533</v>
      </c>
      <c r="AH56" s="57">
        <v>48730</v>
      </c>
      <c r="AI56" s="57">
        <v>46757</v>
      </c>
      <c r="AJ56" s="57">
        <v>49987</v>
      </c>
      <c r="AK56" s="57">
        <v>47982</v>
      </c>
      <c r="AL56" s="57">
        <v>64101</v>
      </c>
      <c r="AM56" s="57">
        <v>43080</v>
      </c>
      <c r="AN56" s="57">
        <v>46986</v>
      </c>
      <c r="AO56" s="57">
        <v>51119</v>
      </c>
      <c r="AP56" s="57">
        <v>47765</v>
      </c>
      <c r="AQ56" s="57">
        <v>48473</v>
      </c>
      <c r="AR56" s="57">
        <v>56140</v>
      </c>
      <c r="AS56" s="57">
        <v>51965</v>
      </c>
      <c r="AT56" s="57">
        <v>47686</v>
      </c>
      <c r="AU56" s="57">
        <v>51000</v>
      </c>
      <c r="AV56" s="57">
        <v>52481</v>
      </c>
      <c r="AW56" s="57">
        <v>52843</v>
      </c>
      <c r="AX56" s="57">
        <v>65470</v>
      </c>
      <c r="AY56" s="57">
        <v>45872</v>
      </c>
      <c r="AZ56" s="57">
        <v>48841</v>
      </c>
      <c r="BA56" s="57">
        <v>51436</v>
      </c>
      <c r="BB56" s="57">
        <v>51795</v>
      </c>
      <c r="BC56" s="57">
        <v>52198</v>
      </c>
      <c r="BD56" s="57">
        <v>62845</v>
      </c>
      <c r="BE56" s="57">
        <v>58596</v>
      </c>
      <c r="BF56" s="57">
        <v>51766</v>
      </c>
      <c r="BG56" s="57">
        <v>56840</v>
      </c>
      <c r="BH56" s="57">
        <v>61683</v>
      </c>
      <c r="BI56" s="57">
        <v>59524</v>
      </c>
      <c r="BJ56" s="57">
        <v>79865</v>
      </c>
      <c r="BK56" s="57">
        <v>53835</v>
      </c>
      <c r="BL56" s="57">
        <v>57089</v>
      </c>
      <c r="BM56" s="57">
        <v>57032</v>
      </c>
      <c r="BN56" s="57">
        <v>51853</v>
      </c>
      <c r="BO56" s="57">
        <v>52996</v>
      </c>
      <c r="BP56" s="57">
        <v>61621</v>
      </c>
      <c r="BQ56" s="57">
        <v>65569</v>
      </c>
      <c r="BR56" s="57">
        <v>45773</v>
      </c>
      <c r="BS56" s="57">
        <v>53966</v>
      </c>
      <c r="BT56" s="57">
        <v>61239</v>
      </c>
      <c r="BU56" s="57">
        <v>66939</v>
      </c>
      <c r="BV56" s="57">
        <v>87257</v>
      </c>
      <c r="BW56" s="57">
        <v>41490</v>
      </c>
      <c r="BX56" s="57">
        <v>53457</v>
      </c>
      <c r="BY56" s="57">
        <v>56890</v>
      </c>
      <c r="BZ56" s="57">
        <v>59000</v>
      </c>
      <c r="CA56" s="57">
        <v>65310</v>
      </c>
      <c r="CB56" s="57">
        <v>77195</v>
      </c>
      <c r="CC56" s="57">
        <v>69793</v>
      </c>
      <c r="CD56" s="57">
        <v>68846</v>
      </c>
      <c r="CE56" s="57">
        <v>82362</v>
      </c>
      <c r="CF56" s="57">
        <v>85660</v>
      </c>
      <c r="CG56" s="57">
        <v>87777</v>
      </c>
      <c r="CH56" s="57">
        <v>108681</v>
      </c>
      <c r="CI56" s="57">
        <v>72993</v>
      </c>
      <c r="CJ56" s="57">
        <v>76478</v>
      </c>
      <c r="CK56" s="57">
        <v>80624</v>
      </c>
      <c r="CL56" s="57">
        <v>76497</v>
      </c>
      <c r="CM56" s="57">
        <v>84668</v>
      </c>
      <c r="CN56" s="57">
        <v>95867</v>
      </c>
      <c r="CO56" s="57">
        <v>87147</v>
      </c>
      <c r="CP56" s="57">
        <v>72812</v>
      </c>
      <c r="CQ56" s="57">
        <v>75984</v>
      </c>
      <c r="CR56" s="57">
        <v>87591</v>
      </c>
      <c r="CS56" s="57">
        <v>87436</v>
      </c>
      <c r="CT56" s="57">
        <v>109030</v>
      </c>
      <c r="CU56" s="57">
        <v>68680</v>
      </c>
      <c r="CV56" s="57">
        <v>68847</v>
      </c>
      <c r="CW56" s="57">
        <v>70771</v>
      </c>
      <c r="CX56" s="57">
        <v>56866</v>
      </c>
      <c r="CY56" s="57">
        <v>51897</v>
      </c>
      <c r="CZ56" s="57">
        <v>58419</v>
      </c>
      <c r="DA56" s="57">
        <v>66773</v>
      </c>
      <c r="DB56" s="57">
        <v>61907</v>
      </c>
      <c r="DC56" s="57">
        <v>66622</v>
      </c>
      <c r="DD56" s="57">
        <v>75289</v>
      </c>
      <c r="DE56" s="57">
        <v>58670</v>
      </c>
      <c r="DF56" s="57">
        <v>13027</v>
      </c>
      <c r="DG56" s="57">
        <v>0</v>
      </c>
      <c r="DH56" s="57">
        <v>7625</v>
      </c>
      <c r="DI56" s="57">
        <v>24011</v>
      </c>
      <c r="DJ56" s="57">
        <v>52143</v>
      </c>
      <c r="DK56" s="57">
        <v>61072</v>
      </c>
      <c r="DL56" s="57">
        <f>347846-294542</f>
        <v>53304</v>
      </c>
      <c r="DM56" s="57">
        <v>60000</v>
      </c>
      <c r="DN56" s="57">
        <v>55000</v>
      </c>
      <c r="DO56" s="57">
        <v>58560</v>
      </c>
      <c r="DP56" s="57">
        <v>69444</v>
      </c>
      <c r="DQ56" s="57">
        <v>65294</v>
      </c>
      <c r="DR56" s="57">
        <v>75618</v>
      </c>
      <c r="DS56" s="57">
        <v>45849</v>
      </c>
      <c r="DT56" s="57">
        <v>18357</v>
      </c>
      <c r="DU56" s="57">
        <v>41594</v>
      </c>
      <c r="DV56" s="57">
        <v>69404</v>
      </c>
      <c r="DW56" s="57">
        <v>54432</v>
      </c>
      <c r="DX56" s="57">
        <v>42415</v>
      </c>
      <c r="DY56" s="57">
        <v>66312</v>
      </c>
      <c r="DZ56" s="57">
        <v>63461</v>
      </c>
      <c r="EA56" s="57">
        <v>64939</v>
      </c>
    </row>
    <row r="57" spans="1:131" ht="12" customHeight="1" x14ac:dyDescent="0.25">
      <c r="A57" s="54" t="s">
        <v>10</v>
      </c>
      <c r="B57" s="57">
        <v>51442</v>
      </c>
      <c r="C57" s="57">
        <v>58430</v>
      </c>
      <c r="D57" s="57">
        <v>84907</v>
      </c>
      <c r="E57" s="57">
        <v>85270</v>
      </c>
      <c r="F57" s="57">
        <v>86324</v>
      </c>
      <c r="G57" s="57">
        <v>79896</v>
      </c>
      <c r="H57" s="57">
        <v>77693</v>
      </c>
      <c r="I57" s="57">
        <v>73188</v>
      </c>
      <c r="J57" s="57">
        <v>70234</v>
      </c>
      <c r="K57" s="57">
        <v>68612</v>
      </c>
      <c r="L57" s="57">
        <v>56675</v>
      </c>
      <c r="M57" s="57">
        <v>60760</v>
      </c>
      <c r="N57" s="57">
        <v>84410</v>
      </c>
      <c r="O57" s="57">
        <v>81818</v>
      </c>
      <c r="P57" s="57">
        <v>92028</v>
      </c>
      <c r="Q57" s="57">
        <v>90822</v>
      </c>
      <c r="R57" s="57">
        <v>85106</v>
      </c>
      <c r="S57" s="57">
        <v>84397</v>
      </c>
      <c r="T57" s="57">
        <v>78729</v>
      </c>
      <c r="U57" s="57">
        <v>76371</v>
      </c>
      <c r="V57" s="57">
        <v>72128</v>
      </c>
      <c r="W57" s="57">
        <v>61595</v>
      </c>
      <c r="X57" s="57">
        <v>56881</v>
      </c>
      <c r="Y57" s="57">
        <v>59314</v>
      </c>
      <c r="Z57" s="57">
        <v>86832</v>
      </c>
      <c r="AA57" s="57">
        <v>94854</v>
      </c>
      <c r="AB57" s="57">
        <v>100144</v>
      </c>
      <c r="AC57" s="57">
        <v>97945</v>
      </c>
      <c r="AD57" s="57">
        <v>87130</v>
      </c>
      <c r="AE57" s="57">
        <v>87555</v>
      </c>
      <c r="AF57" s="57">
        <v>83564</v>
      </c>
      <c r="AG57" s="57">
        <v>82251</v>
      </c>
      <c r="AH57" s="57">
        <v>76949</v>
      </c>
      <c r="AI57" s="57">
        <v>76727</v>
      </c>
      <c r="AJ57" s="57">
        <v>59542</v>
      </c>
      <c r="AK57" s="57">
        <v>65556</v>
      </c>
      <c r="AL57" s="57">
        <v>92129</v>
      </c>
      <c r="AM57" s="57">
        <v>102527</v>
      </c>
      <c r="AN57" s="57">
        <v>111035</v>
      </c>
      <c r="AO57" s="57">
        <v>96173</v>
      </c>
      <c r="AP57" s="57">
        <v>103313</v>
      </c>
      <c r="AQ57" s="57">
        <v>100621</v>
      </c>
      <c r="AR57" s="57">
        <v>101479</v>
      </c>
      <c r="AS57" s="57">
        <v>90009</v>
      </c>
      <c r="AT57" s="57">
        <v>84826</v>
      </c>
      <c r="AU57" s="57">
        <v>83391</v>
      </c>
      <c r="AV57" s="57">
        <v>63881</v>
      </c>
      <c r="AW57" s="57">
        <v>68662</v>
      </c>
      <c r="AX57" s="57">
        <v>96779</v>
      </c>
      <c r="AY57" s="57">
        <v>110429</v>
      </c>
      <c r="AZ57" s="57">
        <v>114879</v>
      </c>
      <c r="BA57" s="57">
        <v>109400</v>
      </c>
      <c r="BB57" s="57">
        <v>111584</v>
      </c>
      <c r="BC57" s="57">
        <v>110890</v>
      </c>
      <c r="BD57" s="57">
        <v>111357</v>
      </c>
      <c r="BE57" s="57">
        <v>104342</v>
      </c>
      <c r="BF57" s="57">
        <v>95120</v>
      </c>
      <c r="BG57" s="57">
        <v>85943</v>
      </c>
      <c r="BH57" s="57">
        <v>74727</v>
      </c>
      <c r="BI57" s="57">
        <v>80251</v>
      </c>
      <c r="BJ57" s="57">
        <v>113413</v>
      </c>
      <c r="BK57" s="57">
        <v>127753</v>
      </c>
      <c r="BL57" s="57">
        <v>121855</v>
      </c>
      <c r="BM57" s="57">
        <v>124594</v>
      </c>
      <c r="BN57" s="57">
        <v>114079</v>
      </c>
      <c r="BO57" s="57">
        <v>113389</v>
      </c>
      <c r="BP57" s="57">
        <v>115278</v>
      </c>
      <c r="BQ57" s="57">
        <v>101587</v>
      </c>
      <c r="BR57" s="57">
        <v>111628</v>
      </c>
      <c r="BS57" s="57">
        <v>92895</v>
      </c>
      <c r="BT57" s="57">
        <v>78733</v>
      </c>
      <c r="BU57" s="57">
        <v>84865</v>
      </c>
      <c r="BV57" s="57">
        <v>125983</v>
      </c>
      <c r="BW57" s="57">
        <v>130912</v>
      </c>
      <c r="BX57" s="57">
        <v>141684</v>
      </c>
      <c r="BY57" s="57">
        <v>137207</v>
      </c>
      <c r="BZ57" s="57">
        <v>123603</v>
      </c>
      <c r="CA57" s="57">
        <v>124688</v>
      </c>
      <c r="CB57" s="57">
        <v>130008</v>
      </c>
      <c r="CC57" s="57">
        <v>115417</v>
      </c>
      <c r="CD57" s="57">
        <v>114315</v>
      </c>
      <c r="CE57" s="57">
        <v>91560</v>
      </c>
      <c r="CF57" s="57">
        <v>85906</v>
      </c>
      <c r="CG57" s="57">
        <v>89651</v>
      </c>
      <c r="CH57" s="57">
        <v>132515</v>
      </c>
      <c r="CI57" s="57">
        <v>133863</v>
      </c>
      <c r="CJ57" s="57">
        <v>146617</v>
      </c>
      <c r="CK57" s="57">
        <v>139003</v>
      </c>
      <c r="CL57" s="57">
        <v>119966</v>
      </c>
      <c r="CM57" s="57">
        <v>130174</v>
      </c>
      <c r="CN57" s="57">
        <v>123696</v>
      </c>
      <c r="CO57" s="57">
        <v>115688</v>
      </c>
      <c r="CP57" s="57">
        <v>104637</v>
      </c>
      <c r="CQ57" s="57">
        <v>85565</v>
      </c>
      <c r="CR57" s="57">
        <v>81690</v>
      </c>
      <c r="CS57" s="57">
        <v>90767</v>
      </c>
      <c r="CT57" s="57">
        <v>133048</v>
      </c>
      <c r="CU57" s="57">
        <v>136432</v>
      </c>
      <c r="CV57" s="57">
        <v>137326</v>
      </c>
      <c r="CW57" s="57">
        <v>137625</v>
      </c>
      <c r="CX57" s="57">
        <v>129411</v>
      </c>
      <c r="CY57" s="57">
        <v>139433</v>
      </c>
      <c r="CZ57" s="57">
        <v>126087</v>
      </c>
      <c r="DA57" s="57">
        <v>121512</v>
      </c>
      <c r="DB57" s="57">
        <v>111892</v>
      </c>
      <c r="DC57" s="57">
        <v>84447</v>
      </c>
      <c r="DD57" s="57">
        <v>86919</v>
      </c>
      <c r="DE57" s="57">
        <v>96748</v>
      </c>
      <c r="DF57" s="57">
        <v>77064</v>
      </c>
      <c r="DG57" s="57">
        <v>36666</v>
      </c>
      <c r="DH57" s="57">
        <v>91580</v>
      </c>
      <c r="DI57" s="57">
        <v>118948</v>
      </c>
      <c r="DJ57" s="57">
        <v>128131</v>
      </c>
      <c r="DK57" s="57">
        <v>132449</v>
      </c>
      <c r="DL57" s="57">
        <f>907949-768505</f>
        <v>139444</v>
      </c>
      <c r="DM57" s="57">
        <v>124280</v>
      </c>
      <c r="DN57" s="57">
        <v>105303</v>
      </c>
      <c r="DO57" s="57">
        <v>98831</v>
      </c>
      <c r="DP57" s="57">
        <v>78812</v>
      </c>
      <c r="DQ57" s="57">
        <v>89273</v>
      </c>
      <c r="DR57" s="57">
        <v>148151</v>
      </c>
      <c r="DS57" s="57">
        <v>127508</v>
      </c>
      <c r="DT57" s="57">
        <v>118838</v>
      </c>
      <c r="DU57" s="57">
        <v>134543</v>
      </c>
      <c r="DV57" s="57">
        <v>124131</v>
      </c>
      <c r="DW57" s="57">
        <v>117933</v>
      </c>
      <c r="DX57" s="57">
        <v>110862</v>
      </c>
      <c r="DY57" s="57">
        <v>107604</v>
      </c>
      <c r="DZ57" s="57">
        <v>95809</v>
      </c>
      <c r="EA57" s="57">
        <v>84767</v>
      </c>
    </row>
    <row r="58" spans="1:131" ht="12" customHeight="1" x14ac:dyDescent="0.25">
      <c r="A58" s="54" t="s">
        <v>11</v>
      </c>
      <c r="B58" s="57">
        <v>13599</v>
      </c>
      <c r="C58" s="57">
        <v>13163</v>
      </c>
      <c r="D58" s="57">
        <v>15064</v>
      </c>
      <c r="E58" s="57">
        <v>13288</v>
      </c>
      <c r="F58" s="57">
        <v>11795</v>
      </c>
      <c r="G58" s="57">
        <v>13237</v>
      </c>
      <c r="H58" s="57">
        <v>13301</v>
      </c>
      <c r="I58" s="57">
        <v>14913</v>
      </c>
      <c r="J58" s="57">
        <v>16533</v>
      </c>
      <c r="K58" s="57">
        <v>23350</v>
      </c>
      <c r="L58" s="57">
        <v>14983</v>
      </c>
      <c r="M58" s="57">
        <v>13797</v>
      </c>
      <c r="N58" s="57">
        <v>14995</v>
      </c>
      <c r="O58" s="57">
        <v>13380</v>
      </c>
      <c r="P58" s="57">
        <v>16237</v>
      </c>
      <c r="Q58" s="57">
        <v>14522</v>
      </c>
      <c r="R58" s="57">
        <v>13923</v>
      </c>
      <c r="S58" s="57">
        <v>16051</v>
      </c>
      <c r="T58" s="57">
        <v>14839</v>
      </c>
      <c r="U58" s="57">
        <v>16640</v>
      </c>
      <c r="V58" s="57">
        <v>18316</v>
      </c>
      <c r="W58" s="57">
        <v>22682</v>
      </c>
      <c r="X58" s="57">
        <v>16873</v>
      </c>
      <c r="Y58" s="57">
        <v>15977</v>
      </c>
      <c r="Z58" s="57">
        <v>15825</v>
      </c>
      <c r="AA58" s="57">
        <v>16045</v>
      </c>
      <c r="AB58" s="57">
        <v>17699</v>
      </c>
      <c r="AC58" s="57">
        <v>18057</v>
      </c>
      <c r="AD58" s="57">
        <v>16156</v>
      </c>
      <c r="AE58" s="57">
        <v>18606</v>
      </c>
      <c r="AF58" s="57">
        <v>16213</v>
      </c>
      <c r="AG58" s="57">
        <v>18738</v>
      </c>
      <c r="AH58" s="57">
        <v>14427</v>
      </c>
      <c r="AI58" s="57">
        <v>27040</v>
      </c>
      <c r="AJ58" s="57">
        <v>18200</v>
      </c>
      <c r="AK58" s="57">
        <v>16445</v>
      </c>
      <c r="AL58" s="57">
        <v>17611</v>
      </c>
      <c r="AM58" s="57">
        <v>15521</v>
      </c>
      <c r="AN58" s="57">
        <v>17530</v>
      </c>
      <c r="AO58" s="57">
        <v>16151</v>
      </c>
      <c r="AP58" s="57">
        <v>18512</v>
      </c>
      <c r="AQ58" s="57">
        <v>20598</v>
      </c>
      <c r="AR58" s="57">
        <v>18586</v>
      </c>
      <c r="AS58" s="57">
        <v>21679</v>
      </c>
      <c r="AT58" s="57">
        <v>24360</v>
      </c>
      <c r="AU58" s="57">
        <v>29653</v>
      </c>
      <c r="AV58" s="57">
        <v>20660</v>
      </c>
      <c r="AW58" s="57">
        <v>18563</v>
      </c>
      <c r="AX58" s="57">
        <v>20566</v>
      </c>
      <c r="AY58" s="57">
        <v>17885</v>
      </c>
      <c r="AZ58" s="57">
        <v>20850</v>
      </c>
      <c r="BA58" s="57">
        <v>21560</v>
      </c>
      <c r="BB58" s="57">
        <v>23128</v>
      </c>
      <c r="BC58" s="57">
        <v>23178</v>
      </c>
      <c r="BD58" s="57">
        <v>23247</v>
      </c>
      <c r="BE58" s="57">
        <v>25531</v>
      </c>
      <c r="BF58" s="57">
        <v>27754</v>
      </c>
      <c r="BG58" s="57">
        <v>36459</v>
      </c>
      <c r="BH58" s="57">
        <v>27863</v>
      </c>
      <c r="BI58" s="57">
        <v>23572</v>
      </c>
      <c r="BJ58" s="57">
        <v>25466</v>
      </c>
      <c r="BK58" s="57">
        <v>25372</v>
      </c>
      <c r="BL58" s="57">
        <v>26853</v>
      </c>
      <c r="BM58" s="57">
        <v>28542</v>
      </c>
      <c r="BN58" s="57">
        <v>30474</v>
      </c>
      <c r="BO58" s="57">
        <v>30320</v>
      </c>
      <c r="BP58" s="57">
        <v>32952</v>
      </c>
      <c r="BQ58" s="57">
        <v>39502</v>
      </c>
      <c r="BR58" s="57">
        <v>41921</v>
      </c>
      <c r="BS58" s="57">
        <v>54923</v>
      </c>
      <c r="BT58" s="57">
        <v>41560</v>
      </c>
      <c r="BU58" s="57">
        <v>38924</v>
      </c>
      <c r="BV58" s="57">
        <v>47616</v>
      </c>
      <c r="BW58" s="57">
        <v>41699</v>
      </c>
      <c r="BX58" s="57">
        <v>44764</v>
      </c>
      <c r="BY58" s="57">
        <v>44086</v>
      </c>
      <c r="BZ58" s="57">
        <v>43144</v>
      </c>
      <c r="CA58" s="57">
        <v>45474</v>
      </c>
      <c r="CB58" s="57">
        <v>43155</v>
      </c>
      <c r="CC58" s="57">
        <v>46742</v>
      </c>
      <c r="CD58" s="57">
        <v>49766</v>
      </c>
      <c r="CE58" s="57">
        <v>59306</v>
      </c>
      <c r="CF58" s="57">
        <v>41953</v>
      </c>
      <c r="CG58" s="57">
        <v>40412</v>
      </c>
      <c r="CH58" s="57">
        <v>43791</v>
      </c>
      <c r="CI58" s="57">
        <v>40472</v>
      </c>
      <c r="CJ58" s="57">
        <v>44870</v>
      </c>
      <c r="CK58" s="57">
        <v>46294</v>
      </c>
      <c r="CL58" s="57">
        <v>41799</v>
      </c>
      <c r="CM58" s="57">
        <v>43415</v>
      </c>
      <c r="CN58" s="57">
        <v>43747</v>
      </c>
      <c r="CO58" s="57">
        <v>46898</v>
      </c>
      <c r="CP58" s="57">
        <v>52249</v>
      </c>
      <c r="CQ58" s="57">
        <v>55468</v>
      </c>
      <c r="CR58" s="57">
        <v>42958</v>
      </c>
      <c r="CS58" s="57">
        <v>42231</v>
      </c>
      <c r="CT58" s="57">
        <v>49442</v>
      </c>
      <c r="CU58" s="57">
        <v>41718</v>
      </c>
      <c r="CV58" s="57">
        <v>42557</v>
      </c>
      <c r="CW58" s="57">
        <v>42486</v>
      </c>
      <c r="CX58" s="57">
        <v>43030</v>
      </c>
      <c r="CY58" s="57">
        <v>44592</v>
      </c>
      <c r="CZ58" s="57">
        <v>42707</v>
      </c>
      <c r="DA58" s="57">
        <v>44556</v>
      </c>
      <c r="DB58" s="57">
        <v>54190</v>
      </c>
      <c r="DC58" s="57">
        <v>52666</v>
      </c>
      <c r="DD58" s="57">
        <v>42601</v>
      </c>
      <c r="DE58" s="57">
        <v>41815</v>
      </c>
      <c r="DF58" s="57">
        <v>38519</v>
      </c>
      <c r="DG58" s="57">
        <v>16131</v>
      </c>
      <c r="DH58" s="57">
        <v>19925</v>
      </c>
      <c r="DI58" s="57">
        <v>27504</v>
      </c>
      <c r="DJ58" s="57">
        <v>31771</v>
      </c>
      <c r="DK58" s="57">
        <v>33200</v>
      </c>
      <c r="DL58" s="57">
        <v>34561</v>
      </c>
      <c r="DM58" s="57">
        <v>38677</v>
      </c>
      <c r="DN58" s="57">
        <v>42184</v>
      </c>
      <c r="DO58" s="57">
        <v>48101</v>
      </c>
      <c r="DP58" s="57">
        <v>38111</v>
      </c>
      <c r="DQ58" s="57">
        <v>39375</v>
      </c>
      <c r="DR58" s="57">
        <v>43847</v>
      </c>
      <c r="DS58" s="57">
        <v>38636</v>
      </c>
      <c r="DT58" s="57">
        <v>39892</v>
      </c>
      <c r="DU58" s="57">
        <v>41729</v>
      </c>
      <c r="DV58" s="57">
        <v>40907</v>
      </c>
      <c r="DW58" s="57">
        <v>37702</v>
      </c>
      <c r="DX58" s="57">
        <v>38361</v>
      </c>
      <c r="DY58" s="57">
        <v>37278</v>
      </c>
      <c r="DZ58" s="57">
        <v>43744</v>
      </c>
      <c r="EA58" s="57">
        <v>52069</v>
      </c>
    </row>
    <row r="59" spans="1:131" ht="12" customHeight="1" x14ac:dyDescent="0.25">
      <c r="A59" s="54" t="s">
        <v>29</v>
      </c>
      <c r="B59" s="57">
        <v>7739</v>
      </c>
      <c r="C59" s="57">
        <v>9909</v>
      </c>
      <c r="D59" s="57">
        <v>16127</v>
      </c>
      <c r="E59" s="57">
        <v>14388</v>
      </c>
      <c r="F59" s="57">
        <v>14877</v>
      </c>
      <c r="G59" s="57">
        <v>15480</v>
      </c>
      <c r="H59" s="57">
        <v>16268</v>
      </c>
      <c r="I59" s="57">
        <v>14962</v>
      </c>
      <c r="J59" s="57">
        <v>14660</v>
      </c>
      <c r="K59" s="57">
        <v>13115</v>
      </c>
      <c r="L59" s="57">
        <v>8250</v>
      </c>
      <c r="M59" s="57">
        <v>9342</v>
      </c>
      <c r="N59" s="57">
        <v>15568</v>
      </c>
      <c r="O59" s="57">
        <v>14459</v>
      </c>
      <c r="P59" s="57">
        <v>15839</v>
      </c>
      <c r="Q59" s="57">
        <v>15225</v>
      </c>
      <c r="R59" s="57">
        <v>15739</v>
      </c>
      <c r="S59" s="57">
        <v>16532</v>
      </c>
      <c r="T59" s="57">
        <v>15868</v>
      </c>
      <c r="U59" s="57">
        <v>17120</v>
      </c>
      <c r="V59" s="57">
        <v>16211</v>
      </c>
      <c r="W59" s="57">
        <v>15000</v>
      </c>
      <c r="X59" s="57">
        <v>12534</v>
      </c>
      <c r="Y59" s="57">
        <v>12399</v>
      </c>
      <c r="Z59" s="57">
        <v>15486</v>
      </c>
      <c r="AA59" s="57">
        <v>17167</v>
      </c>
      <c r="AB59" s="57">
        <v>18255</v>
      </c>
      <c r="AC59" s="57">
        <v>17289</v>
      </c>
      <c r="AD59" s="57">
        <v>19866</v>
      </c>
      <c r="AE59" s="57">
        <v>18095</v>
      </c>
      <c r="AF59" s="57">
        <f>16911+2340</f>
        <v>19251</v>
      </c>
      <c r="AG59" s="57">
        <v>20530</v>
      </c>
      <c r="AH59" s="57">
        <v>15721</v>
      </c>
      <c r="AI59" s="57">
        <v>17144</v>
      </c>
      <c r="AJ59" s="57">
        <v>21713</v>
      </c>
      <c r="AK59" s="57">
        <v>12217</v>
      </c>
      <c r="AL59" s="57">
        <v>11133</v>
      </c>
      <c r="AM59" s="57">
        <v>11535</v>
      </c>
      <c r="AN59" s="57">
        <v>12010</v>
      </c>
      <c r="AO59" s="57">
        <v>11763</v>
      </c>
      <c r="AP59" s="57">
        <v>13048</v>
      </c>
      <c r="AQ59" s="57">
        <v>11788</v>
      </c>
      <c r="AR59" s="57">
        <v>12677</v>
      </c>
      <c r="AS59" s="57">
        <v>12138</v>
      </c>
      <c r="AT59" s="57">
        <v>9547</v>
      </c>
      <c r="AU59" s="57">
        <v>7143</v>
      </c>
      <c r="AV59" s="57">
        <v>13636</v>
      </c>
      <c r="AW59" s="57">
        <v>8667</v>
      </c>
      <c r="AX59" s="57">
        <v>10252</v>
      </c>
      <c r="AY59" s="57">
        <v>11022</v>
      </c>
      <c r="AZ59" s="57">
        <v>11626</v>
      </c>
      <c r="BA59" s="57">
        <v>13539</v>
      </c>
      <c r="BB59" s="57">
        <v>12069</v>
      </c>
      <c r="BC59" s="57">
        <v>13810</v>
      </c>
      <c r="BD59" s="57">
        <v>16115</v>
      </c>
      <c r="BE59" s="57">
        <v>14499</v>
      </c>
      <c r="BF59" s="57">
        <v>11554</v>
      </c>
      <c r="BG59" s="57">
        <v>11771</v>
      </c>
      <c r="BH59" s="57">
        <v>12730</v>
      </c>
      <c r="BI59" s="57">
        <v>9126</v>
      </c>
      <c r="BJ59" s="57">
        <v>10023</v>
      </c>
      <c r="BK59" s="57">
        <v>13121</v>
      </c>
      <c r="BL59" s="57">
        <v>12489</v>
      </c>
      <c r="BM59" s="57">
        <v>13734</v>
      </c>
      <c r="BN59" s="57">
        <v>12895</v>
      </c>
      <c r="BO59" s="57">
        <v>14000</v>
      </c>
      <c r="BP59" s="57">
        <v>18378</v>
      </c>
      <c r="BQ59" s="57">
        <v>15503</v>
      </c>
      <c r="BR59" s="57">
        <v>13673</v>
      </c>
      <c r="BS59" s="57">
        <v>10727</v>
      </c>
      <c r="BT59" s="57">
        <v>20983</v>
      </c>
      <c r="BU59" s="57">
        <v>12423</v>
      </c>
      <c r="BV59" s="57">
        <v>16563</v>
      </c>
      <c r="BW59" s="57">
        <v>14242</v>
      </c>
      <c r="BX59" s="57">
        <v>16649</v>
      </c>
      <c r="BY59" s="57">
        <v>17459</v>
      </c>
      <c r="BZ59" s="57">
        <v>17437</v>
      </c>
      <c r="CA59" s="57">
        <v>19160</v>
      </c>
      <c r="CB59" s="57">
        <v>18702</v>
      </c>
      <c r="CC59" s="57">
        <v>17018</v>
      </c>
      <c r="CD59" s="57">
        <v>16245</v>
      </c>
      <c r="CE59" s="57">
        <v>11071</v>
      </c>
      <c r="CF59" s="57">
        <v>25184</v>
      </c>
      <c r="CG59" s="57">
        <v>13417</v>
      </c>
      <c r="CH59" s="57">
        <v>15418</v>
      </c>
      <c r="CI59" s="57">
        <v>14767</v>
      </c>
      <c r="CJ59" s="57">
        <v>16495</v>
      </c>
      <c r="CK59" s="57">
        <v>12785</v>
      </c>
      <c r="CL59" s="57">
        <v>14476</v>
      </c>
      <c r="CM59" s="57">
        <v>13589</v>
      </c>
      <c r="CN59" s="57">
        <v>10801</v>
      </c>
      <c r="CO59" s="57">
        <v>9905</v>
      </c>
      <c r="CP59" s="57">
        <v>8944</v>
      </c>
      <c r="CQ59" s="57">
        <v>6171</v>
      </c>
      <c r="CR59" s="57">
        <v>13048</v>
      </c>
      <c r="CS59" s="57">
        <v>8873</v>
      </c>
      <c r="CT59" s="57">
        <v>8318</v>
      </c>
      <c r="CU59" s="57">
        <v>9404</v>
      </c>
      <c r="CV59" s="57">
        <v>7876</v>
      </c>
      <c r="CW59" s="57">
        <v>7597</v>
      </c>
      <c r="CX59" s="57">
        <v>9624</v>
      </c>
      <c r="CY59" s="57">
        <v>12313</v>
      </c>
      <c r="CZ59" s="57">
        <v>10611</v>
      </c>
      <c r="DA59" s="57">
        <v>8496</v>
      </c>
      <c r="DB59" s="57">
        <v>6758</v>
      </c>
      <c r="DC59" s="57">
        <v>4150</v>
      </c>
      <c r="DD59" s="57">
        <v>11271</v>
      </c>
      <c r="DE59" s="57">
        <v>6512</v>
      </c>
      <c r="DF59" s="57">
        <v>4040</v>
      </c>
      <c r="DG59" s="57">
        <v>844</v>
      </c>
      <c r="DH59" s="57">
        <v>4134</v>
      </c>
      <c r="DI59" s="57">
        <v>9304</v>
      </c>
      <c r="DJ59" s="57">
        <v>8688</v>
      </c>
      <c r="DK59" s="57">
        <v>8869</v>
      </c>
      <c r="DL59" s="57">
        <v>9684</v>
      </c>
      <c r="DM59" s="57">
        <v>13046</v>
      </c>
      <c r="DN59" s="57">
        <v>9186</v>
      </c>
      <c r="DO59" s="57">
        <v>5986</v>
      </c>
      <c r="DP59" s="57">
        <v>13193</v>
      </c>
      <c r="DQ59" s="57">
        <v>8145</v>
      </c>
      <c r="DR59" s="57">
        <v>9711</v>
      </c>
      <c r="DS59" s="57">
        <v>9649</v>
      </c>
      <c r="DT59" s="57">
        <v>7326</v>
      </c>
      <c r="DU59" s="57">
        <v>11674</v>
      </c>
      <c r="DV59" s="57">
        <v>9763</v>
      </c>
      <c r="DW59" s="57">
        <v>9213</v>
      </c>
      <c r="DX59" s="57">
        <v>10273</v>
      </c>
      <c r="DY59" s="57">
        <v>9926</v>
      </c>
      <c r="DZ59" s="57">
        <v>9640</v>
      </c>
      <c r="EA59" s="57">
        <v>6307</v>
      </c>
    </row>
    <row r="60" spans="1:131" ht="12" customHeight="1" x14ac:dyDescent="0.25">
      <c r="A60" s="54" t="s">
        <v>28</v>
      </c>
      <c r="B60" s="57">
        <v>13013</v>
      </c>
      <c r="C60" s="57">
        <v>14586</v>
      </c>
      <c r="D60" s="57">
        <v>18273</v>
      </c>
      <c r="E60" s="57">
        <v>13535</v>
      </c>
      <c r="F60" s="57">
        <v>15907</v>
      </c>
      <c r="G60" s="57">
        <v>15157</v>
      </c>
      <c r="H60" s="57">
        <v>15915</v>
      </c>
      <c r="I60" s="57">
        <v>14857</v>
      </c>
      <c r="J60" s="57">
        <v>15163</v>
      </c>
      <c r="K60" s="57">
        <v>14328</v>
      </c>
      <c r="L60" s="57">
        <v>12105</v>
      </c>
      <c r="M60" s="57">
        <v>13958</v>
      </c>
      <c r="N60" s="57">
        <v>19092</v>
      </c>
      <c r="O60" s="57">
        <v>16760</v>
      </c>
      <c r="P60" s="57">
        <v>20758</v>
      </c>
      <c r="Q60" s="57">
        <v>23510</v>
      </c>
      <c r="R60" s="57">
        <v>19442</v>
      </c>
      <c r="S60" s="57">
        <v>20724</v>
      </c>
      <c r="T60" s="57">
        <v>20338</v>
      </c>
      <c r="U60" s="57">
        <v>20556</v>
      </c>
      <c r="V60" s="57">
        <v>20550</v>
      </c>
      <c r="W60" s="57">
        <v>21559</v>
      </c>
      <c r="X60" s="57">
        <v>14972</v>
      </c>
      <c r="Y60" s="57">
        <v>16834</v>
      </c>
      <c r="Z60" s="57">
        <v>19588</v>
      </c>
      <c r="AA60" s="57">
        <v>17889</v>
      </c>
      <c r="AB60" s="57">
        <v>17983</v>
      </c>
      <c r="AC60" s="57">
        <v>26724</v>
      </c>
      <c r="AD60" s="57">
        <v>18349</v>
      </c>
      <c r="AE60" s="57">
        <v>17761</v>
      </c>
      <c r="AF60" s="57">
        <v>19314</v>
      </c>
      <c r="AG60" s="57">
        <v>19406</v>
      </c>
      <c r="AH60" s="57">
        <v>18946</v>
      </c>
      <c r="AI60" s="57">
        <v>20527</v>
      </c>
      <c r="AJ60" s="57">
        <v>14791</v>
      </c>
      <c r="AK60" s="57">
        <v>17300</v>
      </c>
      <c r="AL60" s="57">
        <v>19410</v>
      </c>
      <c r="AM60" s="57">
        <v>14045</v>
      </c>
      <c r="AN60" s="57">
        <v>17338</v>
      </c>
      <c r="AO60" s="57">
        <v>24522</v>
      </c>
      <c r="AP60" s="57">
        <v>14849</v>
      </c>
      <c r="AQ60" s="57">
        <v>17956</v>
      </c>
      <c r="AR60" s="57">
        <v>19757</v>
      </c>
      <c r="AS60" s="57">
        <v>19275</v>
      </c>
      <c r="AT60" s="57">
        <v>18137</v>
      </c>
      <c r="AU60" s="57">
        <v>21092</v>
      </c>
      <c r="AV60" s="57">
        <v>14638</v>
      </c>
      <c r="AW60" s="57">
        <v>17610</v>
      </c>
      <c r="AX60" s="57">
        <v>21366</v>
      </c>
      <c r="AY60" s="57">
        <v>16977</v>
      </c>
      <c r="AZ60" s="57">
        <v>20205</v>
      </c>
      <c r="BA60" s="57">
        <v>27208</v>
      </c>
      <c r="BB60" s="57">
        <v>18209</v>
      </c>
      <c r="BC60" s="57">
        <v>17132</v>
      </c>
      <c r="BD60" s="57">
        <v>18340</v>
      </c>
      <c r="BE60" s="57">
        <v>18721</v>
      </c>
      <c r="BF60" s="57">
        <v>20843</v>
      </c>
      <c r="BG60" s="57">
        <v>20005</v>
      </c>
      <c r="BH60" s="57">
        <v>16086</v>
      </c>
      <c r="BI60" s="57">
        <v>20020</v>
      </c>
      <c r="BJ60" s="57">
        <v>22423</v>
      </c>
      <c r="BK60" s="57">
        <v>16579</v>
      </c>
      <c r="BL60" s="57">
        <v>22220</v>
      </c>
      <c r="BM60" s="57">
        <v>31264</v>
      </c>
      <c r="BN60" s="57">
        <v>19481</v>
      </c>
      <c r="BO60" s="57">
        <v>19568</v>
      </c>
      <c r="BP60" s="57">
        <v>21123</v>
      </c>
      <c r="BQ60" s="57">
        <v>19098</v>
      </c>
      <c r="BR60" s="57">
        <v>21549</v>
      </c>
      <c r="BS60" s="57">
        <v>28205</v>
      </c>
      <c r="BT60" s="57">
        <v>15863</v>
      </c>
      <c r="BU60" s="57">
        <v>18788</v>
      </c>
      <c r="BV60" s="57">
        <v>21992</v>
      </c>
      <c r="BW60" s="57">
        <v>19620</v>
      </c>
      <c r="BX60" s="57">
        <v>21215</v>
      </c>
      <c r="BY60" s="57">
        <v>32132</v>
      </c>
      <c r="BZ60" s="57">
        <v>19983</v>
      </c>
      <c r="CA60" s="57">
        <v>19542</v>
      </c>
      <c r="CB60" s="57">
        <v>22496</v>
      </c>
      <c r="CC60" s="57">
        <v>19087</v>
      </c>
      <c r="CD60" s="57">
        <v>20059</v>
      </c>
      <c r="CE60" s="57">
        <v>15832</v>
      </c>
      <c r="CF60" s="57">
        <v>16776</v>
      </c>
      <c r="CG60" s="57">
        <v>18707</v>
      </c>
      <c r="CH60" s="57">
        <v>21897</v>
      </c>
      <c r="CI60" s="57">
        <v>16087</v>
      </c>
      <c r="CJ60" s="57">
        <v>21082</v>
      </c>
      <c r="CK60" s="57">
        <v>28346</v>
      </c>
      <c r="CL60" s="57">
        <v>17035</v>
      </c>
      <c r="CM60" s="57">
        <v>19165</v>
      </c>
      <c r="CN60" s="57">
        <v>19298</v>
      </c>
      <c r="CO60" s="57">
        <v>19286</v>
      </c>
      <c r="CP60" s="57">
        <v>20900</v>
      </c>
      <c r="CQ60" s="57">
        <v>19393</v>
      </c>
      <c r="CR60" s="57">
        <v>15809</v>
      </c>
      <c r="CS60" s="57">
        <v>19831</v>
      </c>
      <c r="CT60" s="57">
        <v>21488</v>
      </c>
      <c r="CU60" s="57">
        <v>15601</v>
      </c>
      <c r="CV60" s="57">
        <v>19178</v>
      </c>
      <c r="CW60" s="57">
        <v>26372</v>
      </c>
      <c r="CX60" s="57">
        <v>16710</v>
      </c>
      <c r="CY60" s="57">
        <v>17513</v>
      </c>
      <c r="CZ60" s="57">
        <v>18257</v>
      </c>
      <c r="DA60" s="57">
        <v>17164</v>
      </c>
      <c r="DB60" s="57">
        <v>19065</v>
      </c>
      <c r="DC60" s="57">
        <v>18647</v>
      </c>
      <c r="DD60" s="57">
        <v>14035</v>
      </c>
      <c r="DE60" s="57">
        <v>15523</v>
      </c>
      <c r="DF60" s="57">
        <v>18162</v>
      </c>
      <c r="DG60" s="57">
        <v>9436</v>
      </c>
      <c r="DH60" s="57">
        <v>14791</v>
      </c>
      <c r="DI60" s="57">
        <v>28645</v>
      </c>
      <c r="DJ60" s="57">
        <v>14898</v>
      </c>
      <c r="DK60" s="57">
        <v>11234</v>
      </c>
      <c r="DL60" s="57">
        <f>142518-126724</f>
        <v>15794</v>
      </c>
      <c r="DM60" s="57">
        <v>19152</v>
      </c>
      <c r="DN60" s="57">
        <v>21252</v>
      </c>
      <c r="DO60" s="57">
        <v>22675</v>
      </c>
      <c r="DP60" s="57">
        <v>17485</v>
      </c>
      <c r="DQ60" s="57">
        <v>19326</v>
      </c>
      <c r="DR60" s="57">
        <v>23255</v>
      </c>
      <c r="DS60" s="57">
        <v>21714</v>
      </c>
      <c r="DT60" s="57">
        <v>23177</v>
      </c>
      <c r="DU60" s="57">
        <v>28550</v>
      </c>
      <c r="DV60" s="57">
        <v>20994</v>
      </c>
      <c r="DW60" s="57">
        <v>19236</v>
      </c>
      <c r="DX60" s="57">
        <v>20035</v>
      </c>
      <c r="DY60" s="57">
        <v>19344</v>
      </c>
      <c r="DZ60" s="57">
        <v>20222</v>
      </c>
      <c r="EA60" s="57">
        <v>19916</v>
      </c>
    </row>
    <row r="61" spans="1:131" ht="12" customHeight="1" x14ac:dyDescent="0.25">
      <c r="A61" s="59" t="s">
        <v>68</v>
      </c>
      <c r="B61" s="60">
        <f t="shared" ref="B61:W61" si="0">SUM(B48:B60)</f>
        <v>1195163</v>
      </c>
      <c r="C61" s="60">
        <f t="shared" si="0"/>
        <v>1231871</v>
      </c>
      <c r="D61" s="60">
        <f t="shared" si="0"/>
        <v>1642077</v>
      </c>
      <c r="E61" s="60">
        <f t="shared" si="0"/>
        <v>1392519</v>
      </c>
      <c r="F61" s="60">
        <f t="shared" si="0"/>
        <v>1301157</v>
      </c>
      <c r="G61" s="60">
        <f t="shared" si="0"/>
        <v>1349022</v>
      </c>
      <c r="H61" s="60">
        <f t="shared" si="0"/>
        <v>1417785</v>
      </c>
      <c r="I61" s="60">
        <f t="shared" si="0"/>
        <v>1300939</v>
      </c>
      <c r="J61" s="60">
        <f t="shared" si="0"/>
        <v>1403080</v>
      </c>
      <c r="K61" s="60">
        <f t="shared" si="0"/>
        <v>1537393</v>
      </c>
      <c r="L61" s="60">
        <f t="shared" si="0"/>
        <v>1102973</v>
      </c>
      <c r="M61" s="60">
        <f t="shared" si="0"/>
        <v>1333572</v>
      </c>
      <c r="N61" s="60">
        <f t="shared" si="0"/>
        <v>1684915</v>
      </c>
      <c r="O61" s="60">
        <f t="shared" si="0"/>
        <v>1355298</v>
      </c>
      <c r="P61" s="60">
        <f t="shared" si="0"/>
        <v>1445111</v>
      </c>
      <c r="Q61" s="60">
        <f t="shared" si="0"/>
        <v>1458741</v>
      </c>
      <c r="R61" s="60">
        <f t="shared" si="0"/>
        <v>1333602</v>
      </c>
      <c r="S61" s="60">
        <f t="shared" si="0"/>
        <v>1361618</v>
      </c>
      <c r="T61" s="60">
        <f t="shared" si="0"/>
        <v>1402532</v>
      </c>
      <c r="U61" s="60">
        <f t="shared" si="0"/>
        <v>1359462</v>
      </c>
      <c r="V61" s="60">
        <f t="shared" si="0"/>
        <v>1408848</v>
      </c>
      <c r="W61" s="60">
        <f t="shared" si="0"/>
        <v>1534800</v>
      </c>
      <c r="X61" s="60">
        <f t="shared" ref="X61:AU61" si="1">SUM(X48:X60)</f>
        <v>1257011</v>
      </c>
      <c r="Y61" s="60">
        <f t="shared" si="1"/>
        <v>1252512</v>
      </c>
      <c r="Z61" s="60">
        <f t="shared" si="1"/>
        <v>1718227</v>
      </c>
      <c r="AA61" s="60">
        <f t="shared" si="1"/>
        <v>1542482</v>
      </c>
      <c r="AB61" s="60">
        <f t="shared" si="1"/>
        <v>1582765</v>
      </c>
      <c r="AC61" s="60">
        <f t="shared" si="1"/>
        <v>1612597</v>
      </c>
      <c r="AD61" s="60">
        <f t="shared" si="1"/>
        <v>1492773</v>
      </c>
      <c r="AE61" s="60">
        <f t="shared" si="1"/>
        <v>1479834</v>
      </c>
      <c r="AF61" s="60">
        <f t="shared" si="1"/>
        <v>1450896</v>
      </c>
      <c r="AG61" s="60">
        <f t="shared" si="1"/>
        <v>1410793</v>
      </c>
      <c r="AH61" s="60">
        <f t="shared" si="1"/>
        <v>1494382</v>
      </c>
      <c r="AI61" s="60">
        <f t="shared" si="1"/>
        <v>1651971</v>
      </c>
      <c r="AJ61" s="60">
        <f t="shared" si="1"/>
        <v>1281572</v>
      </c>
      <c r="AK61" s="60">
        <f t="shared" si="1"/>
        <v>1341239</v>
      </c>
      <c r="AL61" s="60">
        <f t="shared" si="1"/>
        <v>1824731</v>
      </c>
      <c r="AM61" s="60">
        <f t="shared" si="1"/>
        <v>1592130</v>
      </c>
      <c r="AN61" s="60">
        <f t="shared" si="1"/>
        <v>1651217</v>
      </c>
      <c r="AO61" s="60">
        <f t="shared" si="1"/>
        <v>1530571</v>
      </c>
      <c r="AP61" s="60">
        <f t="shared" si="1"/>
        <v>1526476</v>
      </c>
      <c r="AQ61" s="60">
        <f t="shared" si="1"/>
        <v>1522430</v>
      </c>
      <c r="AR61" s="60">
        <f t="shared" si="1"/>
        <v>1520020</v>
      </c>
      <c r="AS61" s="60">
        <f t="shared" si="1"/>
        <v>1500207</v>
      </c>
      <c r="AT61" s="60">
        <f t="shared" si="1"/>
        <v>1541939</v>
      </c>
      <c r="AU61" s="60">
        <f t="shared" si="1"/>
        <v>1813961</v>
      </c>
      <c r="AV61" s="60">
        <f>SUM(AV48:AV60)</f>
        <v>1342624</v>
      </c>
      <c r="AW61" s="60">
        <f>SUM(AW48:AW60)</f>
        <v>1298447</v>
      </c>
      <c r="AX61" s="60">
        <f>SUM(AX48:AX60)</f>
        <v>1788559</v>
      </c>
      <c r="AY61" s="60">
        <f>SUM(AY48:AY60)</f>
        <v>1602218</v>
      </c>
      <c r="AZ61" s="60">
        <f t="shared" ref="AZ61:CD61" si="2">SUM(AZ48:AZ60)</f>
        <v>1650367</v>
      </c>
      <c r="BA61" s="60">
        <f t="shared" si="2"/>
        <v>1642605</v>
      </c>
      <c r="BB61" s="60">
        <f t="shared" si="2"/>
        <v>1586027</v>
      </c>
      <c r="BC61" s="60">
        <f t="shared" si="2"/>
        <v>1578190</v>
      </c>
      <c r="BD61" s="60">
        <f t="shared" si="2"/>
        <v>1652111</v>
      </c>
      <c r="BE61" s="60">
        <f t="shared" si="2"/>
        <v>1637709</v>
      </c>
      <c r="BF61" s="60">
        <f t="shared" si="2"/>
        <v>1594999</v>
      </c>
      <c r="BG61" s="60">
        <f t="shared" si="2"/>
        <v>1821778</v>
      </c>
      <c r="BH61" s="60">
        <f t="shared" si="2"/>
        <v>1369618</v>
      </c>
      <c r="BI61" s="60">
        <f t="shared" si="2"/>
        <v>1429392</v>
      </c>
      <c r="BJ61" s="60">
        <f t="shared" si="2"/>
        <v>1935933</v>
      </c>
      <c r="BK61" s="60">
        <f t="shared" si="2"/>
        <v>1817396</v>
      </c>
      <c r="BL61" s="60">
        <f t="shared" si="2"/>
        <v>1728126</v>
      </c>
      <c r="BM61" s="60">
        <f t="shared" si="2"/>
        <v>1795862</v>
      </c>
      <c r="BN61" s="60">
        <f t="shared" si="2"/>
        <v>1679372</v>
      </c>
      <c r="BO61" s="60">
        <f t="shared" si="2"/>
        <v>1701369</v>
      </c>
      <c r="BP61" s="60">
        <f t="shared" si="2"/>
        <v>1736128</v>
      </c>
      <c r="BQ61" s="60">
        <f t="shared" si="2"/>
        <v>1714969</v>
      </c>
      <c r="BR61" s="60">
        <f t="shared" si="2"/>
        <v>1777016</v>
      </c>
      <c r="BS61" s="60">
        <f t="shared" si="2"/>
        <v>2061168</v>
      </c>
      <c r="BT61" s="60">
        <f t="shared" si="2"/>
        <v>1510399</v>
      </c>
      <c r="BU61" s="60">
        <f t="shared" si="2"/>
        <v>1645548</v>
      </c>
      <c r="BV61" s="60">
        <f t="shared" si="2"/>
        <v>2125328</v>
      </c>
      <c r="BW61" s="60">
        <f t="shared" si="2"/>
        <v>1776770</v>
      </c>
      <c r="BX61" s="60">
        <f t="shared" si="2"/>
        <v>1887489</v>
      </c>
      <c r="BY61" s="60">
        <f t="shared" si="2"/>
        <v>1935510</v>
      </c>
      <c r="BZ61" s="60">
        <f t="shared" si="2"/>
        <v>1781125</v>
      </c>
      <c r="CA61" s="60">
        <f t="shared" si="2"/>
        <v>1809353</v>
      </c>
      <c r="CB61" s="60">
        <f t="shared" si="2"/>
        <v>1987809</v>
      </c>
      <c r="CC61" s="60">
        <f t="shared" si="2"/>
        <v>1826287</v>
      </c>
      <c r="CD61" s="60">
        <f t="shared" si="2"/>
        <v>1910662</v>
      </c>
      <c r="CE61" s="60">
        <v>2043326</v>
      </c>
      <c r="CF61" s="60">
        <v>1677075</v>
      </c>
      <c r="CG61" s="60">
        <v>1649080</v>
      </c>
      <c r="CH61" s="60">
        <v>2332304</v>
      </c>
      <c r="CI61" s="60">
        <v>1929218</v>
      </c>
      <c r="CJ61" s="60">
        <v>2114255</v>
      </c>
      <c r="CK61" s="60">
        <v>2116559</v>
      </c>
      <c r="CL61" s="60">
        <v>1705418</v>
      </c>
      <c r="CM61" s="60">
        <v>2059163</v>
      </c>
      <c r="CN61" s="60">
        <v>1958345</v>
      </c>
      <c r="CO61" s="60">
        <v>1885869</v>
      </c>
      <c r="CP61" s="60">
        <v>1967105</v>
      </c>
      <c r="CQ61" s="60">
        <v>2178202</v>
      </c>
      <c r="CR61" s="60">
        <v>1650421</v>
      </c>
      <c r="CS61" s="60">
        <v>1705884</v>
      </c>
      <c r="CT61" s="60">
        <v>2364018</v>
      </c>
      <c r="CU61" s="60">
        <v>1932083</v>
      </c>
      <c r="CV61" s="60">
        <v>2104624</v>
      </c>
      <c r="CW61" s="60">
        <v>2050477</v>
      </c>
      <c r="CX61" s="60">
        <v>1859573</v>
      </c>
      <c r="CY61" s="60">
        <v>2035473</v>
      </c>
      <c r="CZ61" s="60">
        <v>1834689</v>
      </c>
      <c r="DA61" s="60">
        <v>1895192</v>
      </c>
      <c r="DB61" s="60">
        <v>1993635</v>
      </c>
      <c r="DC61" s="60">
        <v>2140891</v>
      </c>
      <c r="DD61" s="60">
        <f>SUM(DD48:DD60)</f>
        <v>1040351</v>
      </c>
      <c r="DE61" s="60">
        <f t="shared" ref="DE61:DO61" si="3">SUM(DE48:DE60)</f>
        <v>842835</v>
      </c>
      <c r="DF61" s="60">
        <f t="shared" si="3"/>
        <v>1064178</v>
      </c>
      <c r="DG61" s="60">
        <f t="shared" si="3"/>
        <v>935268</v>
      </c>
      <c r="DH61" s="60">
        <f t="shared" si="3"/>
        <v>1079165</v>
      </c>
      <c r="DI61" s="60">
        <f t="shared" si="3"/>
        <v>1292190</v>
      </c>
      <c r="DJ61" s="60">
        <f t="shared" si="3"/>
        <v>1253274</v>
      </c>
      <c r="DK61" s="60">
        <f t="shared" si="3"/>
        <v>1185032</v>
      </c>
      <c r="DL61" s="60">
        <f t="shared" si="3"/>
        <v>1398646</v>
      </c>
      <c r="DM61" s="60">
        <f t="shared" si="3"/>
        <v>1292287</v>
      </c>
      <c r="DN61" s="60">
        <f t="shared" si="3"/>
        <v>1269123</v>
      </c>
      <c r="DO61" s="60">
        <f t="shared" si="3"/>
        <v>1391663</v>
      </c>
      <c r="DP61" s="60">
        <f t="shared" ref="DP61:EA61" si="4">SUM(DP48:DP60)</f>
        <v>1175685</v>
      </c>
      <c r="DQ61" s="60">
        <f t="shared" si="4"/>
        <v>1064447</v>
      </c>
      <c r="DR61" s="60">
        <f t="shared" si="4"/>
        <v>1795587</v>
      </c>
      <c r="DS61" s="60">
        <f t="shared" si="4"/>
        <v>1424294</v>
      </c>
      <c r="DT61" s="60">
        <f t="shared" si="4"/>
        <v>1293697</v>
      </c>
      <c r="DU61" s="60">
        <f t="shared" si="4"/>
        <v>1214652</v>
      </c>
      <c r="DV61" s="60">
        <f t="shared" si="4"/>
        <v>1226587</v>
      </c>
      <c r="DW61" s="60">
        <f t="shared" si="4"/>
        <v>959812</v>
      </c>
      <c r="DX61" s="60">
        <f t="shared" si="4"/>
        <v>1045362</v>
      </c>
      <c r="DY61" s="60">
        <f t="shared" si="4"/>
        <v>972750</v>
      </c>
      <c r="DZ61" s="60">
        <f t="shared" si="4"/>
        <v>1099030</v>
      </c>
      <c r="EA61" s="60">
        <f t="shared" si="4"/>
        <v>1195126</v>
      </c>
    </row>
    <row r="62" spans="1:131" ht="9.9" customHeight="1" x14ac:dyDescent="0.25">
      <c r="A62" s="2"/>
      <c r="B62" s="2"/>
      <c r="C62" s="2" t="s">
        <v>0</v>
      </c>
      <c r="D62" s="2" t="s"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 t="s">
        <v>0</v>
      </c>
      <c r="AB62" s="2" t="s">
        <v>0</v>
      </c>
      <c r="AC62" s="2"/>
      <c r="AD62" s="2"/>
      <c r="AE62" s="2"/>
      <c r="AF62" s="2" t="s">
        <v>0</v>
      </c>
      <c r="AG62" s="2"/>
      <c r="AH62" s="2"/>
      <c r="AI62" s="2"/>
      <c r="AJ62" s="2"/>
      <c r="AK62" s="2" t="s">
        <v>0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</row>
    <row r="63" spans="1:131" ht="9.9" customHeight="1" x14ac:dyDescent="0.25">
      <c r="A63" s="2"/>
      <c r="B63" s="2"/>
      <c r="C63" s="2"/>
      <c r="D63" s="2" t="s"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 t="s">
        <v>0</v>
      </c>
      <c r="R63" s="2"/>
      <c r="S63" s="2"/>
      <c r="T63" s="2"/>
      <c r="U63" s="2"/>
      <c r="V63" s="2"/>
      <c r="W63" s="2"/>
      <c r="X63" s="2"/>
      <c r="Y63" s="2"/>
      <c r="Z63" s="2"/>
      <c r="AA63" s="2" t="s">
        <v>0</v>
      </c>
      <c r="AB63" s="2" t="s">
        <v>0</v>
      </c>
      <c r="AC63" s="2"/>
      <c r="AD63" s="2" t="s">
        <v>0</v>
      </c>
      <c r="AE63" s="2"/>
      <c r="AF63" s="2" t="s">
        <v>0</v>
      </c>
      <c r="AG63" s="2"/>
      <c r="AH63" s="2"/>
      <c r="AI63" s="2"/>
      <c r="AJ63" s="2"/>
      <c r="AK63" s="2" t="s">
        <v>0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131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</row>
    <row r="75" spans="1:8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</row>
    <row r="76" spans="1:8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</row>
    <row r="78" spans="1:8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</row>
  </sheetData>
  <mergeCells count="1">
    <mergeCell ref="N2:O3"/>
  </mergeCells>
  <conditionalFormatting sqref="F10:F22">
    <cfRule type="dataBar" priority="33">
      <dataBar showValue="0">
        <cfvo type="min"/>
        <cfvo type="max"/>
        <color rgb="FF3BAC36"/>
      </dataBar>
      <extLst>
        <ext xmlns:x14="http://schemas.microsoft.com/office/spreadsheetml/2009/9/main" uri="{B025F937-C7B1-47D3-B67F-A62EFF666E3E}">
          <x14:id>{CD05D764-6F9A-493F-837F-0D2F79EB6810}</x14:id>
        </ext>
      </extLst>
    </cfRule>
  </conditionalFormatting>
  <conditionalFormatting sqref="G10:G22">
    <cfRule type="dataBar" priority="34">
      <dataBar showValue="0">
        <cfvo type="min"/>
        <cfvo type="max"/>
        <color rgb="FF3BAC36"/>
      </dataBar>
      <extLst>
        <ext xmlns:x14="http://schemas.microsoft.com/office/spreadsheetml/2009/9/main" uri="{B025F937-C7B1-47D3-B67F-A62EFF666E3E}">
          <x14:id>{789EE64D-56C6-4232-9848-8C2B1D757937}</x14:id>
        </ext>
      </extLst>
    </cfRule>
  </conditionalFormatting>
  <hyperlinks>
    <hyperlink ref="A5" location="Content!A1" display="Back to content" xr:uid="{00000000-0004-0000-0700-000000000000}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05D764-6F9A-493F-837F-0D2F79EB68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F10:F22</xm:sqref>
        </x14:conditionalFormatting>
        <x14:conditionalFormatting xmlns:xm="http://schemas.microsoft.com/office/excel/2006/main">
          <x14:cfRule type="dataBar" id="{789EE64D-56C6-4232-9848-8C2B1D757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G10:G22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7"/>
  <sheetViews>
    <sheetView showGridLines="0" workbookViewId="0">
      <selection activeCell="A8" sqref="A8"/>
    </sheetView>
  </sheetViews>
  <sheetFormatPr defaultColWidth="9.109375" defaultRowHeight="13.2" x14ac:dyDescent="0.25"/>
  <cols>
    <col min="1" max="1" width="19.109375" customWidth="1"/>
    <col min="2" max="2" width="6.6640625" customWidth="1"/>
    <col min="3" max="14" width="11.6640625" customWidth="1"/>
    <col min="15" max="15" width="13" customWidth="1"/>
    <col min="16" max="16" width="11.5546875" bestFit="1" customWidth="1"/>
    <col min="17" max="17" width="9.33203125" bestFit="1" customWidth="1"/>
    <col min="18" max="18" width="10.33203125" bestFit="1" customWidth="1"/>
    <col min="257" max="257" width="19.109375" customWidth="1"/>
    <col min="258" max="258" width="6.6640625" customWidth="1"/>
    <col min="259" max="270" width="11.6640625" customWidth="1"/>
    <col min="513" max="513" width="19.109375" customWidth="1"/>
    <col min="514" max="514" width="6.6640625" customWidth="1"/>
    <col min="515" max="526" width="11.6640625" customWidth="1"/>
    <col min="769" max="769" width="19.109375" customWidth="1"/>
    <col min="770" max="770" width="6.6640625" customWidth="1"/>
    <col min="771" max="782" width="11.6640625" customWidth="1"/>
    <col min="1025" max="1025" width="19.109375" customWidth="1"/>
    <col min="1026" max="1026" width="6.6640625" customWidth="1"/>
    <col min="1027" max="1038" width="11.6640625" customWidth="1"/>
    <col min="1281" max="1281" width="19.109375" customWidth="1"/>
    <col min="1282" max="1282" width="6.6640625" customWidth="1"/>
    <col min="1283" max="1294" width="11.6640625" customWidth="1"/>
    <col min="1537" max="1537" width="19.109375" customWidth="1"/>
    <col min="1538" max="1538" width="6.6640625" customWidth="1"/>
    <col min="1539" max="1550" width="11.6640625" customWidth="1"/>
    <col min="1793" max="1793" width="19.109375" customWidth="1"/>
    <col min="1794" max="1794" width="6.6640625" customWidth="1"/>
    <col min="1795" max="1806" width="11.6640625" customWidth="1"/>
    <col min="2049" max="2049" width="19.109375" customWidth="1"/>
    <col min="2050" max="2050" width="6.6640625" customWidth="1"/>
    <col min="2051" max="2062" width="11.6640625" customWidth="1"/>
    <col min="2305" max="2305" width="19.109375" customWidth="1"/>
    <col min="2306" max="2306" width="6.6640625" customWidth="1"/>
    <col min="2307" max="2318" width="11.6640625" customWidth="1"/>
    <col min="2561" max="2561" width="19.109375" customWidth="1"/>
    <col min="2562" max="2562" width="6.6640625" customWidth="1"/>
    <col min="2563" max="2574" width="11.6640625" customWidth="1"/>
    <col min="2817" max="2817" width="19.109375" customWidth="1"/>
    <col min="2818" max="2818" width="6.6640625" customWidth="1"/>
    <col min="2819" max="2830" width="11.6640625" customWidth="1"/>
    <col min="3073" max="3073" width="19.109375" customWidth="1"/>
    <col min="3074" max="3074" width="6.6640625" customWidth="1"/>
    <col min="3075" max="3086" width="11.6640625" customWidth="1"/>
    <col min="3329" max="3329" width="19.109375" customWidth="1"/>
    <col min="3330" max="3330" width="6.6640625" customWidth="1"/>
    <col min="3331" max="3342" width="11.6640625" customWidth="1"/>
    <col min="3585" max="3585" width="19.109375" customWidth="1"/>
    <col min="3586" max="3586" width="6.6640625" customWidth="1"/>
    <col min="3587" max="3598" width="11.6640625" customWidth="1"/>
    <col min="3841" max="3841" width="19.109375" customWidth="1"/>
    <col min="3842" max="3842" width="6.6640625" customWidth="1"/>
    <col min="3843" max="3854" width="11.6640625" customWidth="1"/>
    <col min="4097" max="4097" width="19.109375" customWidth="1"/>
    <col min="4098" max="4098" width="6.6640625" customWidth="1"/>
    <col min="4099" max="4110" width="11.6640625" customWidth="1"/>
    <col min="4353" max="4353" width="19.109375" customWidth="1"/>
    <col min="4354" max="4354" width="6.6640625" customWidth="1"/>
    <col min="4355" max="4366" width="11.6640625" customWidth="1"/>
    <col min="4609" max="4609" width="19.109375" customWidth="1"/>
    <col min="4610" max="4610" width="6.6640625" customWidth="1"/>
    <col min="4611" max="4622" width="11.6640625" customWidth="1"/>
    <col min="4865" max="4865" width="19.109375" customWidth="1"/>
    <col min="4866" max="4866" width="6.6640625" customWidth="1"/>
    <col min="4867" max="4878" width="11.6640625" customWidth="1"/>
    <col min="5121" max="5121" width="19.109375" customWidth="1"/>
    <col min="5122" max="5122" width="6.6640625" customWidth="1"/>
    <col min="5123" max="5134" width="11.6640625" customWidth="1"/>
    <col min="5377" max="5377" width="19.109375" customWidth="1"/>
    <col min="5378" max="5378" width="6.6640625" customWidth="1"/>
    <col min="5379" max="5390" width="11.6640625" customWidth="1"/>
    <col min="5633" max="5633" width="19.109375" customWidth="1"/>
    <col min="5634" max="5634" width="6.6640625" customWidth="1"/>
    <col min="5635" max="5646" width="11.6640625" customWidth="1"/>
    <col min="5889" max="5889" width="19.109375" customWidth="1"/>
    <col min="5890" max="5890" width="6.6640625" customWidth="1"/>
    <col min="5891" max="5902" width="11.6640625" customWidth="1"/>
    <col min="6145" max="6145" width="19.109375" customWidth="1"/>
    <col min="6146" max="6146" width="6.6640625" customWidth="1"/>
    <col min="6147" max="6158" width="11.6640625" customWidth="1"/>
    <col min="6401" max="6401" width="19.109375" customWidth="1"/>
    <col min="6402" max="6402" width="6.6640625" customWidth="1"/>
    <col min="6403" max="6414" width="11.6640625" customWidth="1"/>
    <col min="6657" max="6657" width="19.109375" customWidth="1"/>
    <col min="6658" max="6658" width="6.6640625" customWidth="1"/>
    <col min="6659" max="6670" width="11.6640625" customWidth="1"/>
    <col min="6913" max="6913" width="19.109375" customWidth="1"/>
    <col min="6914" max="6914" width="6.6640625" customWidth="1"/>
    <col min="6915" max="6926" width="11.6640625" customWidth="1"/>
    <col min="7169" max="7169" width="19.109375" customWidth="1"/>
    <col min="7170" max="7170" width="6.6640625" customWidth="1"/>
    <col min="7171" max="7182" width="11.6640625" customWidth="1"/>
    <col min="7425" max="7425" width="19.109375" customWidth="1"/>
    <col min="7426" max="7426" width="6.6640625" customWidth="1"/>
    <col min="7427" max="7438" width="11.6640625" customWidth="1"/>
    <col min="7681" max="7681" width="19.109375" customWidth="1"/>
    <col min="7682" max="7682" width="6.6640625" customWidth="1"/>
    <col min="7683" max="7694" width="11.6640625" customWidth="1"/>
    <col min="7937" max="7937" width="19.109375" customWidth="1"/>
    <col min="7938" max="7938" width="6.6640625" customWidth="1"/>
    <col min="7939" max="7950" width="11.6640625" customWidth="1"/>
    <col min="8193" max="8193" width="19.109375" customWidth="1"/>
    <col min="8194" max="8194" width="6.6640625" customWidth="1"/>
    <col min="8195" max="8206" width="11.6640625" customWidth="1"/>
    <col min="8449" max="8449" width="19.109375" customWidth="1"/>
    <col min="8450" max="8450" width="6.6640625" customWidth="1"/>
    <col min="8451" max="8462" width="11.6640625" customWidth="1"/>
    <col min="8705" max="8705" width="19.109375" customWidth="1"/>
    <col min="8706" max="8706" width="6.6640625" customWidth="1"/>
    <col min="8707" max="8718" width="11.6640625" customWidth="1"/>
    <col min="8961" max="8961" width="19.109375" customWidth="1"/>
    <col min="8962" max="8962" width="6.6640625" customWidth="1"/>
    <col min="8963" max="8974" width="11.6640625" customWidth="1"/>
    <col min="9217" max="9217" width="19.109375" customWidth="1"/>
    <col min="9218" max="9218" width="6.6640625" customWidth="1"/>
    <col min="9219" max="9230" width="11.6640625" customWidth="1"/>
    <col min="9473" max="9473" width="19.109375" customWidth="1"/>
    <col min="9474" max="9474" width="6.6640625" customWidth="1"/>
    <col min="9475" max="9486" width="11.6640625" customWidth="1"/>
    <col min="9729" max="9729" width="19.109375" customWidth="1"/>
    <col min="9730" max="9730" width="6.6640625" customWidth="1"/>
    <col min="9731" max="9742" width="11.6640625" customWidth="1"/>
    <col min="9985" max="9985" width="19.109375" customWidth="1"/>
    <col min="9986" max="9986" width="6.6640625" customWidth="1"/>
    <col min="9987" max="9998" width="11.6640625" customWidth="1"/>
    <col min="10241" max="10241" width="19.109375" customWidth="1"/>
    <col min="10242" max="10242" width="6.6640625" customWidth="1"/>
    <col min="10243" max="10254" width="11.6640625" customWidth="1"/>
    <col min="10497" max="10497" width="19.109375" customWidth="1"/>
    <col min="10498" max="10498" width="6.6640625" customWidth="1"/>
    <col min="10499" max="10510" width="11.6640625" customWidth="1"/>
    <col min="10753" max="10753" width="19.109375" customWidth="1"/>
    <col min="10754" max="10754" width="6.6640625" customWidth="1"/>
    <col min="10755" max="10766" width="11.6640625" customWidth="1"/>
    <col min="11009" max="11009" width="19.109375" customWidth="1"/>
    <col min="11010" max="11010" width="6.6640625" customWidth="1"/>
    <col min="11011" max="11022" width="11.6640625" customWidth="1"/>
    <col min="11265" max="11265" width="19.109375" customWidth="1"/>
    <col min="11266" max="11266" width="6.6640625" customWidth="1"/>
    <col min="11267" max="11278" width="11.6640625" customWidth="1"/>
    <col min="11521" max="11521" width="19.109375" customWidth="1"/>
    <col min="11522" max="11522" width="6.6640625" customWidth="1"/>
    <col min="11523" max="11534" width="11.6640625" customWidth="1"/>
    <col min="11777" max="11777" width="19.109375" customWidth="1"/>
    <col min="11778" max="11778" width="6.6640625" customWidth="1"/>
    <col min="11779" max="11790" width="11.6640625" customWidth="1"/>
    <col min="12033" max="12033" width="19.109375" customWidth="1"/>
    <col min="12034" max="12034" width="6.6640625" customWidth="1"/>
    <col min="12035" max="12046" width="11.6640625" customWidth="1"/>
    <col min="12289" max="12289" width="19.109375" customWidth="1"/>
    <col min="12290" max="12290" width="6.6640625" customWidth="1"/>
    <col min="12291" max="12302" width="11.6640625" customWidth="1"/>
    <col min="12545" max="12545" width="19.109375" customWidth="1"/>
    <col min="12546" max="12546" width="6.6640625" customWidth="1"/>
    <col min="12547" max="12558" width="11.6640625" customWidth="1"/>
    <col min="12801" max="12801" width="19.109375" customWidth="1"/>
    <col min="12802" max="12802" width="6.6640625" customWidth="1"/>
    <col min="12803" max="12814" width="11.6640625" customWidth="1"/>
    <col min="13057" max="13057" width="19.109375" customWidth="1"/>
    <col min="13058" max="13058" width="6.6640625" customWidth="1"/>
    <col min="13059" max="13070" width="11.6640625" customWidth="1"/>
    <col min="13313" max="13313" width="19.109375" customWidth="1"/>
    <col min="13314" max="13314" width="6.6640625" customWidth="1"/>
    <col min="13315" max="13326" width="11.6640625" customWidth="1"/>
    <col min="13569" max="13569" width="19.109375" customWidth="1"/>
    <col min="13570" max="13570" width="6.6640625" customWidth="1"/>
    <col min="13571" max="13582" width="11.6640625" customWidth="1"/>
    <col min="13825" max="13825" width="19.109375" customWidth="1"/>
    <col min="13826" max="13826" width="6.6640625" customWidth="1"/>
    <col min="13827" max="13838" width="11.6640625" customWidth="1"/>
    <col min="14081" max="14081" width="19.109375" customWidth="1"/>
    <col min="14082" max="14082" width="6.6640625" customWidth="1"/>
    <col min="14083" max="14094" width="11.6640625" customWidth="1"/>
    <col min="14337" max="14337" width="19.109375" customWidth="1"/>
    <col min="14338" max="14338" width="6.6640625" customWidth="1"/>
    <col min="14339" max="14350" width="11.6640625" customWidth="1"/>
    <col min="14593" max="14593" width="19.109375" customWidth="1"/>
    <col min="14594" max="14594" width="6.6640625" customWidth="1"/>
    <col min="14595" max="14606" width="11.6640625" customWidth="1"/>
    <col min="14849" max="14849" width="19.109375" customWidth="1"/>
    <col min="14850" max="14850" width="6.6640625" customWidth="1"/>
    <col min="14851" max="14862" width="11.6640625" customWidth="1"/>
    <col min="15105" max="15105" width="19.109375" customWidth="1"/>
    <col min="15106" max="15106" width="6.6640625" customWidth="1"/>
    <col min="15107" max="15118" width="11.6640625" customWidth="1"/>
    <col min="15361" max="15361" width="19.109375" customWidth="1"/>
    <col min="15362" max="15362" width="6.6640625" customWidth="1"/>
    <col min="15363" max="15374" width="11.6640625" customWidth="1"/>
    <col min="15617" max="15617" width="19.109375" customWidth="1"/>
    <col min="15618" max="15618" width="6.6640625" customWidth="1"/>
    <col min="15619" max="15630" width="11.6640625" customWidth="1"/>
    <col min="15873" max="15873" width="19.109375" customWidth="1"/>
    <col min="15874" max="15874" width="6.6640625" customWidth="1"/>
    <col min="15875" max="15886" width="11.6640625" customWidth="1"/>
    <col min="16129" max="16129" width="19.109375" customWidth="1"/>
    <col min="16130" max="16130" width="6.6640625" customWidth="1"/>
    <col min="16131" max="16142" width="11.6640625" customWidth="1"/>
  </cols>
  <sheetData>
    <row r="1" spans="1:38" ht="12.75" customHeight="1" x14ac:dyDescent="0.25">
      <c r="D1" t="s">
        <v>0</v>
      </c>
    </row>
    <row r="2" spans="1:38" ht="12.75" customHeight="1" x14ac:dyDescent="0.25"/>
    <row r="3" spans="1:38" ht="12.75" customHeight="1" x14ac:dyDescent="0.25"/>
    <row r="4" spans="1:38" ht="12.75" customHeight="1" x14ac:dyDescent="0.25">
      <c r="A4" s="7" t="s">
        <v>70</v>
      </c>
      <c r="B4" s="85"/>
      <c r="E4" t="s">
        <v>0</v>
      </c>
    </row>
    <row r="5" spans="1:38" ht="12.75" customHeight="1" x14ac:dyDescent="0.25">
      <c r="A5" s="7"/>
      <c r="B5" s="85"/>
    </row>
    <row r="6" spans="1:38" ht="12.75" customHeight="1" x14ac:dyDescent="0.25">
      <c r="A6" s="7"/>
      <c r="B6" s="85"/>
    </row>
    <row r="7" spans="1:38" ht="12.75" customHeight="1" x14ac:dyDescent="0.25"/>
    <row r="8" spans="1:38" ht="57" customHeight="1" x14ac:dyDescent="0.25">
      <c r="A8" s="52" t="s">
        <v>51</v>
      </c>
      <c r="B8" s="75" t="s">
        <v>72</v>
      </c>
      <c r="C8" s="53" t="s">
        <v>73</v>
      </c>
      <c r="D8" s="53" t="s">
        <v>74</v>
      </c>
      <c r="E8" s="53" t="s">
        <v>75</v>
      </c>
      <c r="F8" s="53" t="s">
        <v>76</v>
      </c>
      <c r="G8" s="53" t="s">
        <v>77</v>
      </c>
      <c r="H8" s="53" t="s">
        <v>78</v>
      </c>
      <c r="I8" s="53" t="s">
        <v>79</v>
      </c>
      <c r="J8" s="53" t="s">
        <v>80</v>
      </c>
      <c r="K8" s="53" t="s">
        <v>81</v>
      </c>
      <c r="L8" s="53" t="s">
        <v>82</v>
      </c>
      <c r="M8" s="53" t="s">
        <v>83</v>
      </c>
      <c r="N8" s="53" t="s">
        <v>84</v>
      </c>
    </row>
    <row r="9" spans="1:38" x14ac:dyDescent="0.25">
      <c r="A9" s="54" t="s">
        <v>96</v>
      </c>
      <c r="B9" s="76" t="s">
        <v>254</v>
      </c>
      <c r="C9" s="57">
        <v>11817</v>
      </c>
      <c r="D9" s="57">
        <v>8207</v>
      </c>
      <c r="E9" s="57">
        <v>10456</v>
      </c>
      <c r="F9" s="57">
        <v>9134</v>
      </c>
      <c r="G9" s="57">
        <v>10199</v>
      </c>
      <c r="H9" s="57">
        <v>8794</v>
      </c>
      <c r="I9" s="57">
        <v>11403</v>
      </c>
      <c r="J9" s="57">
        <v>10988</v>
      </c>
      <c r="K9" s="57">
        <v>10497</v>
      </c>
      <c r="L9" s="57">
        <v>9063</v>
      </c>
      <c r="M9" s="57">
        <v>12799</v>
      </c>
      <c r="N9" s="57">
        <v>6670</v>
      </c>
      <c r="O9" s="90"/>
      <c r="P9" s="91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 t="s">
        <v>0</v>
      </c>
      <c r="AD9" s="86" t="s">
        <v>0</v>
      </c>
      <c r="AE9" s="86" t="s">
        <v>0</v>
      </c>
      <c r="AF9" s="86" t="s">
        <v>0</v>
      </c>
      <c r="AG9" s="86" t="s">
        <v>0</v>
      </c>
      <c r="AH9" s="86" t="s">
        <v>0</v>
      </c>
      <c r="AI9" s="86" t="s">
        <v>0</v>
      </c>
      <c r="AJ9" s="86" t="s">
        <v>0</v>
      </c>
      <c r="AK9" s="86" t="s">
        <v>0</v>
      </c>
      <c r="AL9" s="86" t="s">
        <v>12</v>
      </c>
    </row>
    <row r="10" spans="1:38" x14ac:dyDescent="0.25">
      <c r="A10" s="54" t="s">
        <v>96</v>
      </c>
      <c r="B10" s="76" t="s">
        <v>273</v>
      </c>
      <c r="C10" s="57">
        <v>12972</v>
      </c>
      <c r="D10" s="57">
        <v>7670</v>
      </c>
      <c r="E10" s="57">
        <v>9249</v>
      </c>
      <c r="F10" s="57">
        <v>10937</v>
      </c>
      <c r="G10" s="57">
        <v>13634</v>
      </c>
      <c r="H10" s="57">
        <v>12687</v>
      </c>
      <c r="I10" s="57">
        <v>13799</v>
      </c>
      <c r="J10" s="57">
        <v>13433</v>
      </c>
      <c r="K10" s="57">
        <v>13126</v>
      </c>
      <c r="L10" s="57">
        <v>14212</v>
      </c>
      <c r="M10" s="57">
        <v>12534</v>
      </c>
      <c r="N10" s="57">
        <v>8265</v>
      </c>
      <c r="O10" s="90"/>
      <c r="P10" s="91"/>
      <c r="Q10" s="86"/>
      <c r="R10" s="86"/>
      <c r="S10" s="86"/>
      <c r="T10" s="86"/>
      <c r="U10" s="86"/>
      <c r="V10" s="86"/>
      <c r="W10" s="86"/>
      <c r="X10" s="86"/>
      <c r="Y10" s="86"/>
    </row>
    <row r="11" spans="1:38" x14ac:dyDescent="0.25">
      <c r="A11" s="54" t="s">
        <v>96</v>
      </c>
      <c r="B11" s="76" t="s">
        <v>288</v>
      </c>
      <c r="C11" s="57">
        <v>11101</v>
      </c>
      <c r="D11" s="57">
        <v>7073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90"/>
      <c r="P11" s="13"/>
      <c r="Q11" s="13"/>
      <c r="R11" s="13"/>
      <c r="S11" s="86"/>
      <c r="T11" s="86"/>
      <c r="U11" s="86"/>
      <c r="V11" s="86"/>
      <c r="W11" s="86"/>
      <c r="X11" s="86"/>
      <c r="Y11" s="86"/>
    </row>
    <row r="12" spans="1:38" x14ac:dyDescent="0.25">
      <c r="A12" s="54" t="s">
        <v>95</v>
      </c>
      <c r="B12" s="76" t="s">
        <v>254</v>
      </c>
      <c r="C12" s="57">
        <v>18259</v>
      </c>
      <c r="D12" s="57">
        <v>21709</v>
      </c>
      <c r="E12" s="57">
        <v>24194</v>
      </c>
      <c r="F12" s="57">
        <v>19636</v>
      </c>
      <c r="G12" s="57">
        <v>21528</v>
      </c>
      <c r="H12" s="57">
        <v>23852</v>
      </c>
      <c r="I12" s="57">
        <v>20064</v>
      </c>
      <c r="J12" s="57">
        <v>22472</v>
      </c>
      <c r="K12" s="57">
        <v>22252</v>
      </c>
      <c r="L12" s="57">
        <v>21447</v>
      </c>
      <c r="M12" s="57">
        <v>21424</v>
      </c>
      <c r="N12" s="57">
        <v>19545</v>
      </c>
      <c r="O12" s="90"/>
      <c r="P12" s="2"/>
      <c r="Q12" s="13"/>
      <c r="R12" s="13"/>
      <c r="S12" s="86"/>
      <c r="T12" s="86"/>
      <c r="U12" s="86"/>
      <c r="V12" s="86"/>
      <c r="W12" s="86"/>
      <c r="X12" s="86"/>
      <c r="Y12" s="86"/>
    </row>
    <row r="13" spans="1:38" x14ac:dyDescent="0.25">
      <c r="A13" s="54" t="s">
        <v>95</v>
      </c>
      <c r="B13" s="76" t="s">
        <v>273</v>
      </c>
      <c r="C13" s="57">
        <v>18546</v>
      </c>
      <c r="D13" s="57">
        <v>18750</v>
      </c>
      <c r="E13" s="57">
        <v>22012</v>
      </c>
      <c r="F13" s="57">
        <v>17060</v>
      </c>
      <c r="G13" s="57">
        <v>23824</v>
      </c>
      <c r="H13" s="57">
        <v>28833</v>
      </c>
      <c r="I13" s="57">
        <v>19244</v>
      </c>
      <c r="J13" s="57">
        <v>24031</v>
      </c>
      <c r="K13" s="57">
        <v>23793</v>
      </c>
      <c r="L13" s="57">
        <v>25681</v>
      </c>
      <c r="M13" s="57">
        <v>26772</v>
      </c>
      <c r="N13" s="57">
        <v>25639</v>
      </c>
      <c r="O13" s="90"/>
      <c r="P13" s="13"/>
      <c r="Q13" s="13"/>
      <c r="R13" s="13"/>
      <c r="S13" s="86"/>
      <c r="T13" s="86"/>
      <c r="U13" s="86"/>
      <c r="V13" s="86"/>
      <c r="W13" s="86"/>
      <c r="X13" s="86"/>
      <c r="Y13" s="86"/>
    </row>
    <row r="14" spans="1:38" x14ac:dyDescent="0.25">
      <c r="A14" s="54" t="s">
        <v>95</v>
      </c>
      <c r="B14" s="76" t="s">
        <v>288</v>
      </c>
      <c r="C14" s="57">
        <v>23518</v>
      </c>
      <c r="D14" s="57">
        <v>27640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90"/>
      <c r="P14" s="2"/>
      <c r="Q14" s="13"/>
      <c r="R14" s="13"/>
      <c r="S14" s="86"/>
      <c r="T14" s="86"/>
      <c r="U14" s="86"/>
      <c r="V14" s="86"/>
      <c r="W14" s="86"/>
      <c r="X14" s="86"/>
      <c r="Y14" s="86"/>
    </row>
    <row r="15" spans="1:38" x14ac:dyDescent="0.25">
      <c r="A15" s="54" t="s">
        <v>94</v>
      </c>
      <c r="B15" s="76" t="s">
        <v>254</v>
      </c>
      <c r="C15" s="57">
        <v>34274</v>
      </c>
      <c r="D15" s="57">
        <v>31686</v>
      </c>
      <c r="E15" s="57">
        <v>39166</v>
      </c>
      <c r="F15" s="57">
        <v>37535</v>
      </c>
      <c r="G15" s="57">
        <v>47581</v>
      </c>
      <c r="H15" s="57">
        <v>44476</v>
      </c>
      <c r="I15" s="57">
        <v>46563</v>
      </c>
      <c r="J15" s="57">
        <v>53664</v>
      </c>
      <c r="K15" s="57">
        <v>50741</v>
      </c>
      <c r="L15" s="57">
        <v>43881</v>
      </c>
      <c r="M15" s="57">
        <v>45228</v>
      </c>
      <c r="N15" s="57">
        <v>52388</v>
      </c>
      <c r="O15" s="90"/>
      <c r="P15" s="2"/>
      <c r="Q15" s="13"/>
      <c r="R15" s="13"/>
      <c r="S15" s="86"/>
      <c r="T15" s="86"/>
      <c r="U15" s="86"/>
      <c r="V15" s="86"/>
      <c r="W15" s="86"/>
      <c r="X15" s="86"/>
      <c r="Y15" s="86"/>
    </row>
    <row r="16" spans="1:38" x14ac:dyDescent="0.25">
      <c r="A16" s="54" t="s">
        <v>94</v>
      </c>
      <c r="B16" s="76" t="s">
        <v>273</v>
      </c>
      <c r="C16" s="57">
        <v>38955</v>
      </c>
      <c r="D16" s="57">
        <v>34065</v>
      </c>
      <c r="E16" s="57">
        <v>52735</v>
      </c>
      <c r="F16" s="57">
        <v>42557</v>
      </c>
      <c r="G16" s="57">
        <v>38873</v>
      </c>
      <c r="H16" s="57">
        <v>57657</v>
      </c>
      <c r="I16" s="57">
        <v>48861</v>
      </c>
      <c r="J16" s="57">
        <v>54239</v>
      </c>
      <c r="K16" s="57">
        <v>41747</v>
      </c>
      <c r="L16" s="57">
        <v>64497</v>
      </c>
      <c r="M16" s="57">
        <v>51950</v>
      </c>
      <c r="N16" s="57">
        <v>61896</v>
      </c>
      <c r="O16" s="90"/>
      <c r="P16" s="13"/>
      <c r="Q16" s="13"/>
      <c r="R16" s="13"/>
      <c r="S16" s="86"/>
      <c r="T16" s="86"/>
      <c r="U16" s="86"/>
      <c r="V16" s="86"/>
      <c r="W16" s="86"/>
      <c r="X16" s="86"/>
      <c r="Y16" s="86"/>
    </row>
    <row r="17" spans="1:25" x14ac:dyDescent="0.25">
      <c r="A17" s="54" t="s">
        <v>94</v>
      </c>
      <c r="B17" s="76" t="s">
        <v>288</v>
      </c>
      <c r="C17" s="57">
        <v>43092</v>
      </c>
      <c r="D17" s="57">
        <v>44891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90"/>
      <c r="P17" s="13"/>
      <c r="Q17" s="13"/>
      <c r="R17" s="13"/>
      <c r="S17" s="86"/>
      <c r="T17" s="86"/>
      <c r="U17" s="86"/>
      <c r="V17" s="86"/>
      <c r="W17" s="86"/>
      <c r="X17" s="86"/>
      <c r="Y17" s="86"/>
    </row>
    <row r="18" spans="1:25" x14ac:dyDescent="0.25">
      <c r="A18" s="54" t="s">
        <v>93</v>
      </c>
      <c r="B18" s="76" t="s">
        <v>254</v>
      </c>
      <c r="C18" s="57">
        <v>78212</v>
      </c>
      <c r="D18" s="57">
        <v>82895</v>
      </c>
      <c r="E18" s="57">
        <v>119671</v>
      </c>
      <c r="F18" s="57">
        <v>119988</v>
      </c>
      <c r="G18" s="57">
        <v>126069</v>
      </c>
      <c r="H18" s="57">
        <v>105193</v>
      </c>
      <c r="I18" s="57">
        <v>115099</v>
      </c>
      <c r="J18" s="57">
        <v>110072</v>
      </c>
      <c r="K18" s="57">
        <v>109246</v>
      </c>
      <c r="L18" s="57">
        <v>108713</v>
      </c>
      <c r="M18" s="57">
        <v>102601</v>
      </c>
      <c r="N18" s="57">
        <v>67617</v>
      </c>
      <c r="O18" s="90"/>
      <c r="P18" s="2"/>
      <c r="Q18" s="13"/>
      <c r="R18" s="13"/>
      <c r="S18" s="86"/>
      <c r="T18" s="86"/>
      <c r="U18" s="86"/>
      <c r="V18" s="86"/>
      <c r="W18" s="86"/>
      <c r="X18" s="86"/>
      <c r="Y18" s="86"/>
    </row>
    <row r="19" spans="1:25" x14ac:dyDescent="0.25">
      <c r="A19" s="54" t="s">
        <v>93</v>
      </c>
      <c r="B19" s="76" t="s">
        <v>273</v>
      </c>
      <c r="C19" s="57">
        <v>84384</v>
      </c>
      <c r="D19" s="57">
        <v>90485</v>
      </c>
      <c r="E19" s="57">
        <v>124929</v>
      </c>
      <c r="F19" s="57">
        <v>124452</v>
      </c>
      <c r="G19" s="57">
        <v>134276</v>
      </c>
      <c r="H19" s="57">
        <v>132808</v>
      </c>
      <c r="I19" s="57">
        <v>121881</v>
      </c>
      <c r="J19" s="57">
        <v>129597</v>
      </c>
      <c r="K19" s="57">
        <v>130835</v>
      </c>
      <c r="L19" s="57">
        <v>127270</v>
      </c>
      <c r="M19" s="57">
        <v>120897</v>
      </c>
      <c r="N19" s="57">
        <v>116342</v>
      </c>
      <c r="O19" s="90"/>
      <c r="P19" s="13"/>
      <c r="Q19" s="13"/>
      <c r="R19" s="13"/>
      <c r="S19" s="86"/>
      <c r="T19" s="86"/>
      <c r="U19" s="86"/>
      <c r="V19" s="86"/>
      <c r="W19" s="86"/>
      <c r="X19" s="86"/>
      <c r="Y19" s="86"/>
    </row>
    <row r="20" spans="1:25" x14ac:dyDescent="0.25">
      <c r="A20" s="54" t="s">
        <v>93</v>
      </c>
      <c r="B20" s="76" t="s">
        <v>288</v>
      </c>
      <c r="C20" s="57">
        <v>97199</v>
      </c>
      <c r="D20" s="57">
        <v>108700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90"/>
      <c r="S20" s="86"/>
      <c r="T20" s="86"/>
      <c r="U20" s="86"/>
      <c r="V20" s="86"/>
      <c r="W20" s="86"/>
      <c r="X20" s="86"/>
      <c r="Y20" s="86"/>
    </row>
    <row r="21" spans="1:25" x14ac:dyDescent="0.25">
      <c r="A21" s="54" t="s">
        <v>92</v>
      </c>
      <c r="B21" s="76" t="s">
        <v>254</v>
      </c>
      <c r="C21" s="57">
        <v>344240</v>
      </c>
      <c r="D21" s="57">
        <v>249857</v>
      </c>
      <c r="E21" s="57">
        <v>369552</v>
      </c>
      <c r="F21" s="57">
        <v>215783</v>
      </c>
      <c r="G21" s="57">
        <v>239096</v>
      </c>
      <c r="H21" s="57">
        <v>280689</v>
      </c>
      <c r="I21" s="57">
        <v>245733</v>
      </c>
      <c r="J21" s="57">
        <v>258094</v>
      </c>
      <c r="K21" s="57">
        <v>278556</v>
      </c>
      <c r="L21" s="57">
        <v>273486</v>
      </c>
      <c r="M21" s="57">
        <v>252905</v>
      </c>
      <c r="N21" s="57">
        <v>292467</v>
      </c>
      <c r="O21" s="90"/>
      <c r="S21" s="86"/>
      <c r="T21" s="86"/>
      <c r="U21" s="86"/>
      <c r="V21" s="86"/>
      <c r="W21" s="86"/>
      <c r="X21" s="86"/>
      <c r="Y21" s="86"/>
    </row>
    <row r="22" spans="1:25" x14ac:dyDescent="0.25">
      <c r="A22" s="54" t="s">
        <v>92</v>
      </c>
      <c r="B22" s="76" t="s">
        <v>273</v>
      </c>
      <c r="C22" s="57">
        <v>180369</v>
      </c>
      <c r="D22" s="57">
        <v>323509</v>
      </c>
      <c r="E22" s="57">
        <v>434088</v>
      </c>
      <c r="F22" s="57">
        <v>347625</v>
      </c>
      <c r="G22" s="57">
        <v>330491</v>
      </c>
      <c r="H22" s="57">
        <v>354505</v>
      </c>
      <c r="I22" s="57">
        <v>287083</v>
      </c>
      <c r="J22" s="57">
        <v>309618</v>
      </c>
      <c r="K22" s="57">
        <v>371140</v>
      </c>
      <c r="L22" s="57">
        <v>364517</v>
      </c>
      <c r="M22" s="57">
        <v>365752</v>
      </c>
      <c r="N22" s="57">
        <v>362177</v>
      </c>
      <c r="O22" s="90"/>
      <c r="S22" s="86"/>
      <c r="T22" s="86"/>
      <c r="U22" s="86"/>
      <c r="V22" s="86"/>
      <c r="W22" s="86"/>
      <c r="X22" s="86"/>
      <c r="Y22" s="86"/>
    </row>
    <row r="23" spans="1:25" x14ac:dyDescent="0.25">
      <c r="A23" s="54" t="s">
        <v>92</v>
      </c>
      <c r="B23" s="76" t="s">
        <v>288</v>
      </c>
      <c r="C23" s="57">
        <v>174754</v>
      </c>
      <c r="D23" s="57">
        <v>145347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90"/>
      <c r="S23" s="86"/>
      <c r="T23" s="86"/>
      <c r="U23" s="86"/>
      <c r="V23" s="86"/>
      <c r="W23" s="86"/>
      <c r="X23" s="86"/>
      <c r="Y23" s="86"/>
    </row>
    <row r="24" spans="1:25" x14ac:dyDescent="0.25">
      <c r="A24" s="54" t="s">
        <v>155</v>
      </c>
      <c r="B24" s="76" t="s">
        <v>254</v>
      </c>
      <c r="C24" s="57">
        <v>120628</v>
      </c>
      <c r="D24" s="57">
        <v>127230</v>
      </c>
      <c r="E24" s="57">
        <v>168661</v>
      </c>
      <c r="F24" s="57">
        <v>125892</v>
      </c>
      <c r="G24" s="57">
        <v>135739</v>
      </c>
      <c r="H24" s="95">
        <v>146669</v>
      </c>
      <c r="I24" s="57">
        <v>119084</v>
      </c>
      <c r="J24" s="57">
        <v>108221</v>
      </c>
      <c r="K24" s="57">
        <v>145729</v>
      </c>
      <c r="L24" s="96">
        <v>129390</v>
      </c>
      <c r="M24" s="57">
        <v>140508</v>
      </c>
      <c r="N24" s="57">
        <v>148955</v>
      </c>
      <c r="O24" s="90"/>
      <c r="S24" s="86"/>
      <c r="T24" s="86"/>
      <c r="U24" s="86"/>
      <c r="V24" s="86"/>
      <c r="W24" s="86"/>
      <c r="X24" s="86"/>
      <c r="Y24" s="86"/>
    </row>
    <row r="25" spans="1:25" x14ac:dyDescent="0.25">
      <c r="A25" s="54" t="s">
        <v>155</v>
      </c>
      <c r="B25" s="76" t="s">
        <v>273</v>
      </c>
      <c r="C25" s="57">
        <v>152078</v>
      </c>
      <c r="D25" s="57">
        <v>152078</v>
      </c>
      <c r="E25" s="57">
        <v>152078</v>
      </c>
      <c r="F25" s="57">
        <v>158263</v>
      </c>
      <c r="G25" s="57">
        <v>158263</v>
      </c>
      <c r="H25" s="57">
        <v>158263</v>
      </c>
      <c r="I25" s="57">
        <v>150198</v>
      </c>
      <c r="J25" s="57">
        <v>150198</v>
      </c>
      <c r="K25" s="57">
        <v>150198</v>
      </c>
      <c r="L25" s="96">
        <v>163620</v>
      </c>
      <c r="M25" s="57">
        <v>163620</v>
      </c>
      <c r="N25" s="57">
        <v>163620</v>
      </c>
      <c r="O25" s="90"/>
      <c r="S25" s="86"/>
      <c r="T25" s="86"/>
      <c r="U25" s="86"/>
      <c r="V25" s="86"/>
      <c r="W25" s="86"/>
      <c r="X25" s="86"/>
      <c r="Y25" s="86"/>
    </row>
    <row r="26" spans="1:25" x14ac:dyDescent="0.25">
      <c r="A26" s="54" t="s">
        <v>155</v>
      </c>
      <c r="B26" s="76" t="s">
        <v>288</v>
      </c>
      <c r="C26" s="57">
        <v>109918</v>
      </c>
      <c r="D26" s="57">
        <v>115475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90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x14ac:dyDescent="0.25">
      <c r="A27" s="54" t="s">
        <v>91</v>
      </c>
      <c r="B27" s="76" t="s">
        <v>254</v>
      </c>
      <c r="C27" s="57">
        <v>112939</v>
      </c>
      <c r="D27" s="57">
        <v>115135</v>
      </c>
      <c r="E27" s="57">
        <v>120680</v>
      </c>
      <c r="F27" s="57">
        <v>71671</v>
      </c>
      <c r="G27" s="57">
        <v>74573</v>
      </c>
      <c r="H27" s="57">
        <v>78268</v>
      </c>
      <c r="I27" s="57">
        <v>76678</v>
      </c>
      <c r="J27" s="57">
        <v>75500</v>
      </c>
      <c r="K27" s="57">
        <v>79519</v>
      </c>
      <c r="L27" s="57">
        <v>60712</v>
      </c>
      <c r="M27" s="57">
        <v>57503</v>
      </c>
      <c r="N27" s="57">
        <v>48245</v>
      </c>
      <c r="O27" s="90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x14ac:dyDescent="0.25">
      <c r="A28" s="54" t="s">
        <v>91</v>
      </c>
      <c r="B28" s="76" t="s">
        <v>273</v>
      </c>
      <c r="C28" s="57">
        <v>94316</v>
      </c>
      <c r="D28" s="57">
        <v>91354</v>
      </c>
      <c r="E28" s="57">
        <v>93488</v>
      </c>
      <c r="F28" s="57">
        <v>109255</v>
      </c>
      <c r="G28" s="57">
        <v>101272</v>
      </c>
      <c r="H28" s="57">
        <v>102488</v>
      </c>
      <c r="I28" s="57">
        <v>124973</v>
      </c>
      <c r="J28" s="57">
        <v>131451</v>
      </c>
      <c r="K28" s="57">
        <v>84737</v>
      </c>
      <c r="L28" s="57">
        <v>92419</v>
      </c>
      <c r="M28" s="57">
        <v>77723</v>
      </c>
      <c r="N28" s="57">
        <v>64302</v>
      </c>
      <c r="O28" s="90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x14ac:dyDescent="0.25">
      <c r="A29" s="54" t="s">
        <v>91</v>
      </c>
      <c r="B29" s="76" t="s">
        <v>288</v>
      </c>
      <c r="C29" s="100">
        <v>94000</v>
      </c>
      <c r="D29" s="100">
        <v>94000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90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x14ac:dyDescent="0.25">
      <c r="A30" s="54" t="s">
        <v>90</v>
      </c>
      <c r="B30" s="76" t="s">
        <v>254</v>
      </c>
      <c r="C30" s="57">
        <v>57254</v>
      </c>
      <c r="D30" s="57">
        <v>64820</v>
      </c>
      <c r="E30" s="57">
        <v>86469</v>
      </c>
      <c r="F30" s="57">
        <v>55328</v>
      </c>
      <c r="G30" s="57">
        <v>49577</v>
      </c>
      <c r="H30" s="57">
        <v>59819</v>
      </c>
      <c r="I30" s="57">
        <v>61190</v>
      </c>
      <c r="J30" s="57">
        <v>55899</v>
      </c>
      <c r="K30" s="57">
        <v>70262</v>
      </c>
      <c r="L30" s="57">
        <v>63350</v>
      </c>
      <c r="M30" s="57">
        <v>69020</v>
      </c>
      <c r="N30" s="57">
        <v>60035</v>
      </c>
      <c r="O30" s="90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x14ac:dyDescent="0.25">
      <c r="A31" s="54" t="s">
        <v>90</v>
      </c>
      <c r="B31" s="76" t="s">
        <v>273</v>
      </c>
      <c r="C31" s="57">
        <v>62468</v>
      </c>
      <c r="D31" s="57">
        <v>70445</v>
      </c>
      <c r="E31" s="57">
        <v>94551</v>
      </c>
      <c r="F31" s="57">
        <v>60067</v>
      </c>
      <c r="G31" s="57">
        <v>54688</v>
      </c>
      <c r="H31" s="57">
        <v>60686</v>
      </c>
      <c r="I31" s="57">
        <v>58056</v>
      </c>
      <c r="J31" s="57">
        <v>59805</v>
      </c>
      <c r="K31" s="57">
        <v>74094</v>
      </c>
      <c r="L31" s="57">
        <v>63187</v>
      </c>
      <c r="M31" s="57">
        <v>67044</v>
      </c>
      <c r="N31" s="57">
        <v>61268</v>
      </c>
      <c r="O31" s="90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5" x14ac:dyDescent="0.25">
      <c r="A32" s="54" t="s">
        <v>90</v>
      </c>
      <c r="B32" s="76" t="s">
        <v>288</v>
      </c>
      <c r="C32" s="57">
        <v>49124</v>
      </c>
      <c r="D32" s="57">
        <v>45822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90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x14ac:dyDescent="0.25">
      <c r="A33" s="54" t="s">
        <v>89</v>
      </c>
      <c r="B33" s="76" t="s">
        <v>254</v>
      </c>
      <c r="C33" s="57">
        <v>18754</v>
      </c>
      <c r="D33" s="57">
        <v>21882</v>
      </c>
      <c r="E33" s="57">
        <v>17498</v>
      </c>
      <c r="F33" s="57">
        <v>22269</v>
      </c>
      <c r="G33" s="57">
        <v>22727</v>
      </c>
      <c r="H33" s="57">
        <v>20171</v>
      </c>
      <c r="I33" s="57">
        <v>24485</v>
      </c>
      <c r="J33" s="57">
        <v>21676</v>
      </c>
      <c r="K33" s="57">
        <v>22378</v>
      </c>
      <c r="L33" s="57">
        <v>24535</v>
      </c>
      <c r="M33" s="57">
        <v>21400</v>
      </c>
      <c r="N33" s="57">
        <v>21350</v>
      </c>
      <c r="O33" s="90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x14ac:dyDescent="0.25">
      <c r="A34" s="54" t="s">
        <v>89</v>
      </c>
      <c r="B34" s="76" t="s">
        <v>273</v>
      </c>
      <c r="C34" s="57">
        <v>15429</v>
      </c>
      <c r="D34" s="57">
        <v>26798</v>
      </c>
      <c r="E34" s="57">
        <v>26085</v>
      </c>
      <c r="F34" s="57">
        <v>22007</v>
      </c>
      <c r="G34" s="57">
        <v>21625</v>
      </c>
      <c r="H34" s="57">
        <v>21284</v>
      </c>
      <c r="I34" s="57">
        <v>22096</v>
      </c>
      <c r="J34" s="57">
        <v>17248</v>
      </c>
      <c r="K34" s="57">
        <v>17503</v>
      </c>
      <c r="L34" s="57">
        <v>21636</v>
      </c>
      <c r="M34" s="57">
        <v>22928</v>
      </c>
      <c r="N34" s="57">
        <v>17631</v>
      </c>
      <c r="O34" s="90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x14ac:dyDescent="0.25">
      <c r="A35" s="54" t="s">
        <v>89</v>
      </c>
      <c r="B35" s="76" t="s">
        <v>288</v>
      </c>
      <c r="C35" s="57">
        <v>14768</v>
      </c>
      <c r="D35" s="57">
        <v>15663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90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x14ac:dyDescent="0.25">
      <c r="A36" s="54" t="s">
        <v>88</v>
      </c>
      <c r="B36" s="76" t="s">
        <v>254</v>
      </c>
      <c r="C36" s="57">
        <v>41308</v>
      </c>
      <c r="D36" s="57">
        <v>42744</v>
      </c>
      <c r="E36" s="57">
        <v>51456</v>
      </c>
      <c r="F36" s="57">
        <v>42937</v>
      </c>
      <c r="G36" s="57">
        <v>47856</v>
      </c>
      <c r="H36" s="57">
        <v>48977</v>
      </c>
      <c r="I36" s="57">
        <v>46885</v>
      </c>
      <c r="J36" s="57">
        <v>49689</v>
      </c>
      <c r="K36" s="57">
        <v>47883</v>
      </c>
      <c r="L36" s="57">
        <v>54150</v>
      </c>
      <c r="M36" s="57">
        <v>54971</v>
      </c>
      <c r="N36" s="57">
        <v>70209</v>
      </c>
      <c r="O36" s="90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x14ac:dyDescent="0.25">
      <c r="A37" s="54" t="s">
        <v>88</v>
      </c>
      <c r="B37" s="76" t="s">
        <v>273</v>
      </c>
      <c r="C37" s="57">
        <v>53686</v>
      </c>
      <c r="D37" s="57">
        <v>53619</v>
      </c>
      <c r="E37" s="57">
        <v>63660</v>
      </c>
      <c r="F37" s="57">
        <v>57721</v>
      </c>
      <c r="G37" s="57">
        <v>60324</v>
      </c>
      <c r="H37" s="57">
        <v>64662</v>
      </c>
      <c r="I37" s="57">
        <v>63221</v>
      </c>
      <c r="J37" s="57">
        <v>63104</v>
      </c>
      <c r="K37" s="57">
        <v>67569</v>
      </c>
      <c r="L37" s="57">
        <v>64817</v>
      </c>
      <c r="M37" s="57">
        <v>71140</v>
      </c>
      <c r="N37" s="57">
        <v>79819</v>
      </c>
      <c r="O37" s="90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x14ac:dyDescent="0.25">
      <c r="A38" s="54" t="s">
        <v>88</v>
      </c>
      <c r="B38" s="76" t="s">
        <v>288</v>
      </c>
      <c r="C38" s="57">
        <v>64123</v>
      </c>
      <c r="D38" s="57">
        <v>65163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90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x14ac:dyDescent="0.25">
      <c r="A39" s="54" t="s">
        <v>87</v>
      </c>
      <c r="B39" s="76" t="s">
        <v>254</v>
      </c>
      <c r="C39" s="57">
        <v>9111</v>
      </c>
      <c r="D39" s="57">
        <v>12011</v>
      </c>
      <c r="E39" s="57">
        <v>14094</v>
      </c>
      <c r="F39" s="57">
        <v>14471</v>
      </c>
      <c r="G39" s="57">
        <v>13417</v>
      </c>
      <c r="H39" s="57">
        <v>16518</v>
      </c>
      <c r="I39" s="57">
        <v>11175</v>
      </c>
      <c r="J39" s="57">
        <v>13106</v>
      </c>
      <c r="K39" s="57">
        <v>17403</v>
      </c>
      <c r="L39" s="57">
        <v>17782</v>
      </c>
      <c r="M39" s="57">
        <v>23089</v>
      </c>
      <c r="N39" s="57">
        <v>35172</v>
      </c>
      <c r="O39" s="90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x14ac:dyDescent="0.25">
      <c r="A40" s="54" t="s">
        <v>87</v>
      </c>
      <c r="B40" s="76" t="s">
        <v>273</v>
      </c>
      <c r="C40" s="57">
        <v>13606</v>
      </c>
      <c r="D40" s="57">
        <v>22241</v>
      </c>
      <c r="E40" s="57">
        <v>24703</v>
      </c>
      <c r="F40" s="57">
        <v>20281</v>
      </c>
      <c r="G40" s="57">
        <v>24138</v>
      </c>
      <c r="H40" s="57">
        <v>25166</v>
      </c>
      <c r="I40" s="57">
        <v>26543</v>
      </c>
      <c r="J40" s="57">
        <v>20323</v>
      </c>
      <c r="K40" s="57">
        <v>17822</v>
      </c>
      <c r="L40" s="57">
        <v>18756</v>
      </c>
      <c r="M40" s="57">
        <v>23616</v>
      </c>
      <c r="N40" s="57">
        <v>32237</v>
      </c>
      <c r="O40" s="90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x14ac:dyDescent="0.25">
      <c r="A41" s="54" t="s">
        <v>87</v>
      </c>
      <c r="B41" s="76" t="s">
        <v>288</v>
      </c>
      <c r="C41" s="57">
        <v>15660</v>
      </c>
      <c r="D41" s="57">
        <v>23713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90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 x14ac:dyDescent="0.25">
      <c r="A42" s="54" t="s">
        <v>252</v>
      </c>
      <c r="B42" s="76" t="s">
        <v>254</v>
      </c>
      <c r="C42" s="57">
        <v>224125</v>
      </c>
      <c r="D42" s="57">
        <v>260426</v>
      </c>
      <c r="E42" s="57">
        <v>230834</v>
      </c>
      <c r="F42" s="57">
        <v>242218</v>
      </c>
      <c r="G42" s="57">
        <v>218332</v>
      </c>
      <c r="H42" s="57">
        <v>231226</v>
      </c>
      <c r="I42" s="57">
        <v>237678</v>
      </c>
      <c r="J42" s="57">
        <v>215792</v>
      </c>
      <c r="K42" s="57">
        <v>148410</v>
      </c>
      <c r="L42" s="57">
        <v>232511</v>
      </c>
      <c r="M42" s="57">
        <v>220215</v>
      </c>
      <c r="N42" s="57">
        <v>271993</v>
      </c>
      <c r="O42" s="90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x14ac:dyDescent="0.25">
      <c r="A43" s="54" t="s">
        <v>252</v>
      </c>
      <c r="B43" s="76" t="s">
        <v>273</v>
      </c>
      <c r="C43" s="57">
        <v>207987</v>
      </c>
      <c r="D43" s="57">
        <v>212270</v>
      </c>
      <c r="E43" s="57">
        <v>242376</v>
      </c>
      <c r="F43" s="57">
        <v>249162</v>
      </c>
      <c r="G43" s="57">
        <v>256470</v>
      </c>
      <c r="H43" s="57">
        <v>266276</v>
      </c>
      <c r="I43" s="57">
        <v>239724</v>
      </c>
      <c r="J43" s="57">
        <v>244935</v>
      </c>
      <c r="K43" s="57">
        <v>244881</v>
      </c>
      <c r="L43" s="57">
        <v>210421</v>
      </c>
      <c r="M43" s="57">
        <v>222851</v>
      </c>
      <c r="N43" s="57">
        <v>258424</v>
      </c>
      <c r="O43" s="90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5">
      <c r="A44" s="66" t="s">
        <v>252</v>
      </c>
      <c r="B44" s="77" t="s">
        <v>288</v>
      </c>
      <c r="C44" s="65">
        <v>184861</v>
      </c>
      <c r="D44" s="65">
        <v>198784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90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x14ac:dyDescent="0.25">
      <c r="C45" s="3"/>
      <c r="G45" s="86"/>
      <c r="H45" s="86"/>
      <c r="O45" s="90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 x14ac:dyDescent="0.25">
      <c r="D46" t="s">
        <v>0</v>
      </c>
      <c r="E46" s="3" t="s">
        <v>0</v>
      </c>
      <c r="M46" s="3"/>
      <c r="N46" t="s">
        <v>0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 x14ac:dyDescent="0.25">
      <c r="A47" t="s">
        <v>0</v>
      </c>
      <c r="N47" t="s">
        <v>0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</row>
    <row r="48" spans="1:25" x14ac:dyDescent="0.2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 t="s">
        <v>0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</row>
    <row r="49" spans="3:25" x14ac:dyDescent="0.2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P49" s="86"/>
      <c r="Q49" s="86"/>
      <c r="R49" s="86"/>
      <c r="S49" s="86"/>
      <c r="T49" s="86"/>
      <c r="U49" s="86"/>
      <c r="V49" s="86"/>
      <c r="W49" s="86"/>
      <c r="X49" s="86"/>
      <c r="Y49" s="86"/>
    </row>
    <row r="50" spans="3:25" x14ac:dyDescent="0.2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3:25" x14ac:dyDescent="0.25"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3:25" x14ac:dyDescent="0.25"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3:25" x14ac:dyDescent="0.25"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3:25" x14ac:dyDescent="0.25"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3:25" x14ac:dyDescent="0.25"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3:25" x14ac:dyDescent="0.25"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3:25" x14ac:dyDescent="0.25">
      <c r="P57" s="86"/>
      <c r="Q57" s="86"/>
      <c r="R57" s="86"/>
      <c r="S57" s="86"/>
      <c r="T57" s="86"/>
      <c r="U57" s="86"/>
      <c r="V57" s="86"/>
      <c r="W57" s="86"/>
      <c r="X57" s="86"/>
      <c r="Y57" s="86"/>
    </row>
  </sheetData>
  <sortState xmlns:xlrd2="http://schemas.microsoft.com/office/spreadsheetml/2017/richdata2" ref="O10:R22">
    <sortCondition ref="O10:O22"/>
  </sortState>
  <hyperlinks>
    <hyperlink ref="A4" location="Content!A1" display="Back to content" xr:uid="{00000000-0004-0000-08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PC-sales-countries-World</vt:lpstr>
      <vt:lpstr>PC-sales-countries-World-123</vt:lpstr>
      <vt:lpstr>PC-sales-countries-World-Charts</vt:lpstr>
      <vt:lpstr>PC-sales-countries-Cumul-World</vt:lpstr>
      <vt:lpstr>PC-sales-World-Cumul-Charts</vt:lpstr>
      <vt:lpstr>PC-sales-carmakers-Europe 29</vt:lpstr>
      <vt:lpstr>LUV-sales-countries-World</vt:lpstr>
      <vt:lpstr>LUV-sales-countries-World-123</vt:lpstr>
      <vt:lpstr>LUV-sales-countries-World-Chart</vt:lpstr>
      <vt:lpstr>LUV-sales-countries-Cumul-World</vt:lpstr>
      <vt:lpstr>LUV-sales-World-Cumul-Chart</vt:lpstr>
    </vt:vector>
  </TitlesOfParts>
  <Company>INOVEV;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INOVEV</dc:creator>
  <cp:lastModifiedBy>Franz Dietrich</cp:lastModifiedBy>
  <cp:lastPrinted>2013-04-11T07:36:51Z</cp:lastPrinted>
  <dcterms:created xsi:type="dcterms:W3CDTF">2010-02-03T10:32:04Z</dcterms:created>
  <dcterms:modified xsi:type="dcterms:W3CDTF">2024-03-28T09:07:13Z</dcterms:modified>
</cp:coreProperties>
</file>